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N2W\Desktop\Web Author\"/>
    </mc:Choice>
  </mc:AlternateContent>
  <xr:revisionPtr revIDLastSave="0" documentId="13_ncr:1_{AA9CC1B6-4EC0-49FF-B3F5-4B727FBCD471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Schedule" sheetId="27" r:id="rId1"/>
    <sheet name="Project Wide Estimates" sheetId="22" r:id="rId2"/>
    <sheet name="Property Comparables" sheetId="28" r:id="rId3"/>
    <sheet name="Individual Parcel Estimate" sheetId="21" r:id="rId4"/>
    <sheet name="Delivery Hours" sheetId="25" r:id="rId5"/>
    <sheet name="Conclusion" sheetId="23" r:id="rId6"/>
    <sheet name="Parcel Scoping Checklist" sheetId="20" r:id="rId7"/>
  </sheets>
  <definedNames>
    <definedName name="_xlnm._FilterDatabase" localSheetId="6" hidden="1">'Parcel Scoping Checklist'!$A$8:$AO$8</definedName>
    <definedName name="In_house">'Individual Parcel Estimate'!$I$63:$I$65</definedName>
    <definedName name="ParcelType">'Individual Parcel Estimate'!$G$63:$G$69</definedName>
    <definedName name="_xlnm.Print_Titles" localSheetId="3">'Individual Parcel Estimate'!$A:$B,'Individual Parcel Estimate'!$6:$8</definedName>
    <definedName name="_xlnm.Print_Titles" localSheetId="6">'Parcel Scoping Checklist'!$A:$B,'Parcel Scoping Checklist'!$8:$8</definedName>
    <definedName name="PropertyType">'Individual Parcel Estimate'!$U$63:$U$70</definedName>
    <definedName name="PropType">'Individual Parcel Estimate'!$U$63:$U$72</definedName>
    <definedName name="Who">'Individual Parcel Estimate'!$I$63:$I$65</definedName>
    <definedName name="YesNo">'Individual Parcel Estimate'!$J$61:$J$63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0" l="1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9" i="20"/>
  <c r="K3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2" i="28"/>
  <c r="E9" i="27"/>
  <c r="B9" i="27"/>
  <c r="L2" i="28"/>
  <c r="L3" i="28"/>
  <c r="L4" i="28"/>
  <c r="L5" i="28"/>
  <c r="L6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9" i="21"/>
  <c r="L12" i="22"/>
  <c r="M12" i="22" s="1"/>
  <c r="C20" i="22"/>
  <c r="C13" i="25"/>
  <c r="H13" i="25" s="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M9" i="21"/>
  <c r="K9" i="21"/>
  <c r="G9" i="21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R57" i="20"/>
  <c r="R9" i="20"/>
  <c r="O9" i="20"/>
  <c r="O16" i="20"/>
  <c r="O10" i="20"/>
  <c r="O11" i="20"/>
  <c r="O12" i="20"/>
  <c r="O13" i="20"/>
  <c r="O14" i="20"/>
  <c r="O15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9" i="20"/>
  <c r="E37" i="27"/>
  <c r="B37" i="27"/>
  <c r="E36" i="27"/>
  <c r="B36" i="27"/>
  <c r="B28" i="27" s="1"/>
  <c r="E28" i="27" s="1"/>
  <c r="E35" i="27"/>
  <c r="B35" i="27"/>
  <c r="B34" i="27" s="1"/>
  <c r="E34" i="27"/>
  <c r="E33" i="27"/>
  <c r="E32" i="27"/>
  <c r="E31" i="27"/>
  <c r="E30" i="27"/>
  <c r="E29" i="27"/>
  <c r="E27" i="27"/>
  <c r="E26" i="27"/>
  <c r="E25" i="27"/>
  <c r="E24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8" i="27"/>
  <c r="E7" i="27"/>
  <c r="E5" i="27"/>
  <c r="E4" i="27"/>
  <c r="E3" i="27"/>
  <c r="E2" i="27"/>
  <c r="B2" i="27"/>
  <c r="B3" i="27" s="1"/>
  <c r="B43" i="27" s="1"/>
  <c r="B44" i="27" s="1"/>
  <c r="E13" i="25" l="1"/>
  <c r="D13" i="25"/>
  <c r="G13" i="25"/>
  <c r="F13" i="25"/>
  <c r="I13" i="25"/>
  <c r="J13" i="25"/>
  <c r="K13" i="25"/>
  <c r="B27" i="27"/>
  <c r="B25" i="27"/>
  <c r="B30" i="27"/>
  <c r="B33" i="27" s="1"/>
  <c r="B31" i="27" s="1"/>
  <c r="AO58" i="21"/>
  <c r="AN58" i="21"/>
  <c r="L13" i="25" l="1"/>
  <c r="B29" i="27"/>
  <c r="B32" i="27"/>
  <c r="B26" i="27"/>
  <c r="B24" i="27"/>
  <c r="B22" i="27" s="1"/>
  <c r="B21" i="27" s="1"/>
  <c r="B20" i="27" s="1"/>
  <c r="B19" i="27" s="1"/>
  <c r="B18" i="27" s="1"/>
  <c r="E10" i="23"/>
  <c r="C10" i="23"/>
  <c r="M13" i="25" l="1"/>
  <c r="B16" i="27"/>
  <c r="B17" i="27"/>
  <c r="B14" i="27" s="1"/>
  <c r="B13" i="27" s="1"/>
  <c r="B1" i="20"/>
  <c r="B2" i="20"/>
  <c r="B3" i="20"/>
  <c r="B4" i="20"/>
  <c r="E3" i="23"/>
  <c r="E1" i="23"/>
  <c r="B2" i="23"/>
  <c r="B3" i="23"/>
  <c r="B4" i="23"/>
  <c r="B1" i="23"/>
  <c r="G4" i="21"/>
  <c r="G2" i="21"/>
  <c r="B2" i="21"/>
  <c r="B3" i="21"/>
  <c r="B4" i="21"/>
  <c r="B1" i="21"/>
  <c r="H6" i="25"/>
  <c r="H4" i="25"/>
  <c r="C4" i="25"/>
  <c r="C5" i="25"/>
  <c r="C6" i="25"/>
  <c r="C3" i="25"/>
  <c r="B12" i="27" l="1"/>
  <c r="B11" i="27"/>
  <c r="B8" i="27" s="1"/>
  <c r="B7" i="27" s="1"/>
  <c r="B6" i="27" s="1"/>
  <c r="C19" i="25"/>
  <c r="C17" i="25"/>
  <c r="C15" i="25"/>
  <c r="B5" i="27" l="1"/>
  <c r="E6" i="27"/>
  <c r="B10" i="27"/>
  <c r="B15" i="27"/>
  <c r="S56" i="21"/>
  <c r="D39" i="27" l="1"/>
  <c r="E39" i="27"/>
  <c r="B10" i="23"/>
  <c r="S9" i="21"/>
  <c r="A33" i="20" l="1"/>
  <c r="A34" i="20"/>
  <c r="A35" i="20"/>
  <c r="A36" i="20"/>
  <c r="A37" i="20"/>
  <c r="A38" i="20"/>
  <c r="A39" i="20"/>
  <c r="A40" i="20"/>
  <c r="A41" i="20"/>
  <c r="A42" i="20"/>
  <c r="A43" i="20"/>
  <c r="A44" i="20"/>
  <c r="A45" i="20"/>
  <c r="Z34" i="21" l="1"/>
  <c r="Z35" i="21"/>
  <c r="Z36" i="21"/>
  <c r="Z37" i="21"/>
  <c r="Z38" i="21"/>
  <c r="Z39" i="21"/>
  <c r="Z40" i="21"/>
  <c r="Z41" i="21"/>
  <c r="Z42" i="21"/>
  <c r="Z43" i="21"/>
  <c r="Z44" i="21"/>
  <c r="Z45" i="21"/>
  <c r="Y34" i="21"/>
  <c r="AB34" i="21" s="1"/>
  <c r="Y35" i="21"/>
  <c r="AB35" i="21" s="1"/>
  <c r="Y36" i="21"/>
  <c r="AB36" i="21" s="1"/>
  <c r="Y37" i="21"/>
  <c r="AB37" i="21" s="1"/>
  <c r="Y38" i="21"/>
  <c r="AB38" i="21" s="1"/>
  <c r="Y39" i="21"/>
  <c r="AB39" i="21" s="1"/>
  <c r="Y40" i="21"/>
  <c r="AB40" i="21" s="1"/>
  <c r="Y41" i="21"/>
  <c r="AB41" i="21" s="1"/>
  <c r="Y42" i="21"/>
  <c r="AB42" i="21" s="1"/>
  <c r="Y43" i="21"/>
  <c r="AB43" i="21" s="1"/>
  <c r="Y44" i="21"/>
  <c r="AB44" i="21" s="1"/>
  <c r="Y45" i="21"/>
  <c r="AB45" i="21" s="1"/>
  <c r="W58" i="21"/>
  <c r="V58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9" i="21"/>
  <c r="AA58" i="21" l="1"/>
  <c r="AK45" i="21"/>
  <c r="AL45" i="21" s="1"/>
  <c r="AP45" i="21" s="1"/>
  <c r="AK41" i="21"/>
  <c r="AL41" i="21" s="1"/>
  <c r="AP41" i="21" s="1"/>
  <c r="AK37" i="21"/>
  <c r="AL37" i="21" s="1"/>
  <c r="AP37" i="21" s="1"/>
  <c r="AK44" i="21"/>
  <c r="AL44" i="21" s="1"/>
  <c r="AP44" i="21" s="1"/>
  <c r="AK40" i="21"/>
  <c r="AL40" i="21" s="1"/>
  <c r="AP40" i="21" s="1"/>
  <c r="AK36" i="21"/>
  <c r="AL36" i="21" s="1"/>
  <c r="AP36" i="21" s="1"/>
  <c r="AK43" i="21"/>
  <c r="AL43" i="21" s="1"/>
  <c r="AP43" i="21" s="1"/>
  <c r="AK39" i="21"/>
  <c r="AL39" i="21" s="1"/>
  <c r="AP39" i="21" s="1"/>
  <c r="AK35" i="21"/>
  <c r="AL35" i="21" s="1"/>
  <c r="AP35" i="21" s="1"/>
  <c r="AK42" i="21"/>
  <c r="AL42" i="21" s="1"/>
  <c r="AP42" i="21" s="1"/>
  <c r="AK38" i="21"/>
  <c r="AL38" i="21" s="1"/>
  <c r="AP38" i="21" s="1"/>
  <c r="AK34" i="21"/>
  <c r="AL34" i="21" s="1"/>
  <c r="AP34" i="21" s="1"/>
  <c r="A56" i="20" l="1"/>
  <c r="A53" i="20" l="1"/>
  <c r="Z56" i="21"/>
  <c r="Y56" i="21"/>
  <c r="AB56" i="21" s="1"/>
  <c r="AK56" i="21" l="1"/>
  <c r="AL56" i="21" s="1"/>
  <c r="AP56" i="21" s="1"/>
  <c r="A55" i="20"/>
  <c r="Y10" i="21" l="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46" i="21"/>
  <c r="Y47" i="21"/>
  <c r="Y48" i="21"/>
  <c r="Y49" i="21"/>
  <c r="Y50" i="21"/>
  <c r="Y51" i="21"/>
  <c r="Y52" i="21"/>
  <c r="Y53" i="21"/>
  <c r="Y54" i="21"/>
  <c r="Y55" i="21"/>
  <c r="Y57" i="21"/>
  <c r="Y9" i="21"/>
  <c r="AB55" i="21" l="1"/>
  <c r="Z55" i="21"/>
  <c r="S55" i="21"/>
  <c r="AK55" i="21" l="1"/>
  <c r="AL55" i="21" s="1"/>
  <c r="AP55" i="21" s="1"/>
  <c r="J22" i="22"/>
  <c r="C23" i="25" l="1"/>
  <c r="J23" i="25" s="1"/>
  <c r="C20" i="25"/>
  <c r="C18" i="25"/>
  <c r="C16" i="25"/>
  <c r="C14" i="25"/>
  <c r="C21" i="25" s="1"/>
  <c r="K15" i="25" l="1"/>
  <c r="G15" i="25"/>
  <c r="J15" i="25"/>
  <c r="K19" i="25"/>
  <c r="G19" i="25"/>
  <c r="J19" i="25"/>
  <c r="J14" i="25"/>
  <c r="H14" i="25"/>
  <c r="K14" i="25"/>
  <c r="G16" i="25"/>
  <c r="G20" i="25"/>
  <c r="G18" i="25"/>
  <c r="J17" i="25"/>
  <c r="K17" i="25"/>
  <c r="G17" i="25"/>
  <c r="C25" i="25"/>
  <c r="AM58" i="21" l="1"/>
  <c r="AJ58" i="21"/>
  <c r="AI58" i="21"/>
  <c r="AH58" i="21"/>
  <c r="AG58" i="21"/>
  <c r="AF58" i="21"/>
  <c r="AC58" i="21"/>
  <c r="X58" i="21"/>
  <c r="R58" i="21"/>
  <c r="O58" i="21"/>
  <c r="N58" i="21"/>
  <c r="G10" i="23" s="1"/>
  <c r="H11" i="23" l="1"/>
  <c r="H10" i="23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46" i="20"/>
  <c r="A47" i="20"/>
  <c r="A48" i="20"/>
  <c r="A49" i="20"/>
  <c r="A50" i="20"/>
  <c r="A51" i="20"/>
  <c r="A52" i="20"/>
  <c r="A54" i="20"/>
  <c r="A57" i="20"/>
  <c r="AB10" i="21" l="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46" i="21"/>
  <c r="AB47" i="21"/>
  <c r="AB48" i="21"/>
  <c r="AB49" i="21"/>
  <c r="AB50" i="21"/>
  <c r="AB51" i="21"/>
  <c r="AB52" i="21"/>
  <c r="AB53" i="21"/>
  <c r="AB54" i="21"/>
  <c r="AB57" i="21"/>
  <c r="AB9" i="21" l="1"/>
  <c r="AB58" i="21" s="1"/>
  <c r="Y58" i="21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46" i="21"/>
  <c r="Z47" i="21"/>
  <c r="Z48" i="21"/>
  <c r="Z49" i="21"/>
  <c r="Z50" i="21"/>
  <c r="Z51" i="21"/>
  <c r="Z52" i="21"/>
  <c r="Z53" i="21"/>
  <c r="Z54" i="21"/>
  <c r="Z57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46" i="21"/>
  <c r="S47" i="21"/>
  <c r="S48" i="21"/>
  <c r="S49" i="21"/>
  <c r="S50" i="21"/>
  <c r="S51" i="21"/>
  <c r="S52" i="21"/>
  <c r="S53" i="21"/>
  <c r="S54" i="21"/>
  <c r="S57" i="21"/>
  <c r="Z58" i="21" l="1"/>
  <c r="S58" i="21"/>
  <c r="AK52" i="21"/>
  <c r="AL52" i="21" s="1"/>
  <c r="AP52" i="21" s="1"/>
  <c r="AK50" i="21"/>
  <c r="AL50" i="21" s="1"/>
  <c r="AP50" i="21" s="1"/>
  <c r="AK30" i="21"/>
  <c r="AL30" i="21" s="1"/>
  <c r="AP30" i="21" s="1"/>
  <c r="AK32" i="21"/>
  <c r="AL32" i="21" s="1"/>
  <c r="AP32" i="21" s="1"/>
  <c r="AK51" i="21"/>
  <c r="AL51" i="21" s="1"/>
  <c r="AP51" i="21" s="1"/>
  <c r="AK31" i="21"/>
  <c r="AL31" i="21" s="1"/>
  <c r="AP31" i="21" s="1"/>
  <c r="AK49" i="21"/>
  <c r="AL49" i="21" s="1"/>
  <c r="AP49" i="21" s="1"/>
  <c r="AK29" i="21"/>
  <c r="AL29" i="21" s="1"/>
  <c r="AP29" i="21" s="1"/>
  <c r="AK54" i="21"/>
  <c r="AL54" i="21" s="1"/>
  <c r="AP54" i="21" s="1"/>
  <c r="AK48" i="21"/>
  <c r="AL48" i="21" s="1"/>
  <c r="AP48" i="21" s="1"/>
  <c r="AK28" i="21"/>
  <c r="AL28" i="21" s="1"/>
  <c r="AP28" i="21" s="1"/>
  <c r="AK57" i="21"/>
  <c r="AL57" i="21" s="1"/>
  <c r="AP57" i="21" s="1"/>
  <c r="AK53" i="21"/>
  <c r="AL53" i="21" s="1"/>
  <c r="AP53" i="21" s="1"/>
  <c r="AK47" i="21"/>
  <c r="AL47" i="21" s="1"/>
  <c r="AP47" i="21" s="1"/>
  <c r="AK46" i="21"/>
  <c r="AL46" i="21" s="1"/>
  <c r="AP46" i="21" s="1"/>
  <c r="AK33" i="21"/>
  <c r="AL33" i="21" s="1"/>
  <c r="AP33" i="21" s="1"/>
  <c r="AK24" i="21"/>
  <c r="AL24" i="21" s="1"/>
  <c r="AP24" i="21" s="1"/>
  <c r="AK16" i="21"/>
  <c r="AL16" i="21" s="1"/>
  <c r="AP16" i="21" s="1"/>
  <c r="AK23" i="21"/>
  <c r="AL23" i="21" s="1"/>
  <c r="AP23" i="21" s="1"/>
  <c r="AK15" i="21"/>
  <c r="AL15" i="21" s="1"/>
  <c r="AP15" i="21" s="1"/>
  <c r="AK22" i="21"/>
  <c r="AL22" i="21" s="1"/>
  <c r="AP22" i="21" s="1"/>
  <c r="AK14" i="21"/>
  <c r="AL14" i="21" s="1"/>
  <c r="AP14" i="21" s="1"/>
  <c r="AK21" i="21"/>
  <c r="AL21" i="21" s="1"/>
  <c r="AP21" i="21" s="1"/>
  <c r="AK13" i="21"/>
  <c r="AL13" i="21" s="1"/>
  <c r="AP13" i="21" s="1"/>
  <c r="AK12" i="21"/>
  <c r="AL12" i="21" s="1"/>
  <c r="AP12" i="21" s="1"/>
  <c r="AK27" i="21"/>
  <c r="AL27" i="21" s="1"/>
  <c r="AP27" i="21" s="1"/>
  <c r="AK19" i="21"/>
  <c r="AL19" i="21" s="1"/>
  <c r="AP19" i="21" s="1"/>
  <c r="AK26" i="21"/>
  <c r="AL26" i="21" s="1"/>
  <c r="AP26" i="21" s="1"/>
  <c r="AK18" i="21"/>
  <c r="AL18" i="21" s="1"/>
  <c r="AP18" i="21" s="1"/>
  <c r="AK10" i="21"/>
  <c r="AL10" i="21" s="1"/>
  <c r="AP10" i="21" s="1"/>
  <c r="AK20" i="21"/>
  <c r="AL20" i="21" s="1"/>
  <c r="AP20" i="21" s="1"/>
  <c r="AK11" i="21"/>
  <c r="AL11" i="21" s="1"/>
  <c r="AP11" i="21" s="1"/>
  <c r="AK25" i="21"/>
  <c r="AL25" i="21" s="1"/>
  <c r="AP25" i="21" s="1"/>
  <c r="AK17" i="21"/>
  <c r="AL17" i="21" s="1"/>
  <c r="AP17" i="21" s="1"/>
  <c r="AK9" i="21"/>
  <c r="AL9" i="21" l="1"/>
  <c r="AK58" i="21"/>
  <c r="AL58" i="21" l="1"/>
  <c r="AP9" i="21"/>
  <c r="AP58" i="21" s="1"/>
  <c r="I14" i="22"/>
  <c r="I15" i="25" s="1"/>
  <c r="E14" i="22"/>
  <c r="E15" i="25" s="1"/>
  <c r="E16" i="22"/>
  <c r="E17" i="25" s="1"/>
  <c r="D16" i="22"/>
  <c r="D17" i="25" s="1"/>
  <c r="G13" i="22"/>
  <c r="G14" i="25" s="1"/>
  <c r="G21" i="25" s="1"/>
  <c r="F13" i="22"/>
  <c r="F14" i="25" s="1"/>
  <c r="I13" i="22"/>
  <c r="I14" i="25" s="1"/>
  <c r="D13" i="22"/>
  <c r="D14" i="25" s="1"/>
  <c r="E13" i="22"/>
  <c r="E14" i="25" s="1"/>
  <c r="I17" i="22"/>
  <c r="D17" i="22"/>
  <c r="H20" i="25"/>
  <c r="I19" i="22"/>
  <c r="I20" i="25" s="1"/>
  <c r="I15" i="22"/>
  <c r="I16" i="25" s="1"/>
  <c r="D15" i="22"/>
  <c r="D16" i="25" s="1"/>
  <c r="I18" i="22"/>
  <c r="I19" i="25" s="1"/>
  <c r="H18" i="22"/>
  <c r="H19" i="25" s="1"/>
  <c r="E18" i="22"/>
  <c r="E19" i="25" s="1"/>
  <c r="D18" i="22"/>
  <c r="D19" i="25" s="1"/>
  <c r="I18" i="25" l="1"/>
  <c r="C9" i="23"/>
  <c r="D18" i="25"/>
  <c r="L14" i="25"/>
  <c r="G20" i="22"/>
  <c r="C24" i="22"/>
  <c r="M14" i="25" l="1"/>
  <c r="D14" i="22"/>
  <c r="D15" i="25" s="1"/>
  <c r="F14" i="22"/>
  <c r="F15" i="25" s="1"/>
  <c r="H14" i="22"/>
  <c r="H15" i="25" s="1"/>
  <c r="E15" i="22"/>
  <c r="E16" i="25" s="1"/>
  <c r="F16" i="25"/>
  <c r="H16" i="25"/>
  <c r="J15" i="22"/>
  <c r="J16" i="25" s="1"/>
  <c r="K15" i="22"/>
  <c r="K16" i="25" s="1"/>
  <c r="F16" i="22"/>
  <c r="F17" i="25" s="1"/>
  <c r="H16" i="22"/>
  <c r="H17" i="25" s="1"/>
  <c r="I16" i="22"/>
  <c r="I17" i="25" s="1"/>
  <c r="I21" i="25" s="1"/>
  <c r="E17" i="22"/>
  <c r="E18" i="25" s="1"/>
  <c r="F18" i="25"/>
  <c r="J17" i="22"/>
  <c r="K17" i="22"/>
  <c r="F18" i="22"/>
  <c r="F19" i="25" s="1"/>
  <c r="L19" i="25" s="1"/>
  <c r="M19" i="25" s="1"/>
  <c r="D19" i="22"/>
  <c r="D20" i="25" s="1"/>
  <c r="E19" i="22"/>
  <c r="E20" i="25" s="1"/>
  <c r="F20" i="25"/>
  <c r="J19" i="22"/>
  <c r="J20" i="25" s="1"/>
  <c r="K19" i="22"/>
  <c r="K20" i="25" s="1"/>
  <c r="D21" i="25" l="1"/>
  <c r="F21" i="25"/>
  <c r="E21" i="25"/>
  <c r="K18" i="25"/>
  <c r="K21" i="25" s="1"/>
  <c r="E9" i="23"/>
  <c r="J18" i="25"/>
  <c r="J21" i="25" s="1"/>
  <c r="H18" i="25"/>
  <c r="H21" i="25" s="1"/>
  <c r="L20" i="25"/>
  <c r="M20" i="25" s="1"/>
  <c r="L15" i="25"/>
  <c r="L16" i="25"/>
  <c r="M16" i="25" s="1"/>
  <c r="L17" i="25"/>
  <c r="M17" i="25" s="1"/>
  <c r="I20" i="22"/>
  <c r="K20" i="22"/>
  <c r="J20" i="22"/>
  <c r="J21" i="22" s="1"/>
  <c r="J23" i="22" s="1"/>
  <c r="E20" i="22"/>
  <c r="H20" i="22"/>
  <c r="F20" i="22"/>
  <c r="D20" i="22"/>
  <c r="L18" i="22"/>
  <c r="M18" i="22" s="1"/>
  <c r="L16" i="22"/>
  <c r="M16" i="22" s="1"/>
  <c r="L14" i="22"/>
  <c r="M14" i="22" s="1"/>
  <c r="L19" i="22"/>
  <c r="M19" i="22" s="1"/>
  <c r="L17" i="22"/>
  <c r="M17" i="22" s="1"/>
  <c r="L15" i="22"/>
  <c r="M15" i="22" s="1"/>
  <c r="L13" i="22"/>
  <c r="J22" i="25" l="1"/>
  <c r="J24" i="25" s="1"/>
  <c r="D9" i="23"/>
  <c r="D10" i="23"/>
  <c r="B15" i="23" s="1"/>
  <c r="B9" i="23"/>
  <c r="L18" i="25"/>
  <c r="M18" i="25" s="1"/>
  <c r="M15" i="25"/>
  <c r="M21" i="25" s="1"/>
  <c r="I58" i="21"/>
  <c r="G58" i="21"/>
  <c r="B11" i="23" s="1"/>
  <c r="M58" i="21"/>
  <c r="K58" i="21"/>
  <c r="M13" i="22"/>
  <c r="L20" i="22"/>
  <c r="L21" i="22" s="1"/>
  <c r="L22" i="22" s="1"/>
  <c r="L26" i="22" s="1"/>
  <c r="L21" i="25" l="1"/>
  <c r="L22" i="25" s="1"/>
  <c r="L23" i="25" s="1"/>
  <c r="L27" i="25" s="1"/>
  <c r="L31" i="25" s="1"/>
  <c r="C32" i="25" s="1"/>
  <c r="G32" i="25" s="1"/>
  <c r="E34" i="25" s="1"/>
  <c r="L30" i="22"/>
  <c r="C31" i="22" s="1"/>
  <c r="G31" i="22" s="1"/>
  <c r="E33" i="22" s="1"/>
  <c r="F20" i="23"/>
  <c r="I20" i="23"/>
  <c r="G20" i="23"/>
  <c r="H20" i="23"/>
  <c r="B35" i="23"/>
  <c r="B36" i="23"/>
  <c r="E20" i="23"/>
  <c r="D20" i="23"/>
  <c r="B20" i="23"/>
  <c r="G11" i="23"/>
  <c r="E11" i="23"/>
  <c r="D11" i="23"/>
  <c r="C11" i="23"/>
  <c r="P58" i="21" l="1"/>
  <c r="B37" i="23"/>
  <c r="F11" i="23" l="1"/>
  <c r="B16" i="23" s="1"/>
  <c r="F9" i="23"/>
  <c r="B14" i="23" s="1"/>
  <c r="C20" i="23"/>
  <c r="J20" i="23" l="1"/>
  <c r="B24" i="23" s="1"/>
  <c r="B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tc={F5D2E255-FDCC-45E4-834F-A7CA03DF3DC8}</author>
    <author>tc={DEF475A3-BBFE-478D-9130-46D5805B9355}</author>
  </authors>
  <commentList>
    <comment ref="B1" authorId="0" shapeId="0" xr:uid="{F5D2E255-FDCC-45E4-834F-A7CA03DF3DC8}">
      <text>
        <t>[Threaded comment]
Your version of Excel allows you to read this threaded comment; however, any edits to it will get removed if the file is opened in a newer version of Excel. Learn more: https://go.microsoft.com/fwlink/?linkid=870924
Comment:
    (factors include: complex parcels, relocations, appraisals, 15+ parcels)</t>
      </text>
    </comment>
    <comment ref="E1" authorId="1" shapeId="0" xr:uid="{DEF475A3-BBFE-478D-9130-46D5805B9355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compared to Preferred Schedule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  <author>RINGEL, ABIGAIL E</author>
  </authors>
  <commentList>
    <comment ref="N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demo costs if handled through real estate (consult property management)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partial release fees, recording fees, etc.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site improvements, buildings, severance, cost to cure, HE or anything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describe impacts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$ to relocatees (Consult Relocation agent)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Estimated $ DOT will be responsible for (acquisition to year end)
</t>
        </r>
      </text>
    </comment>
    <comment ref="AI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on-premise or off-premise. (consult Central office for off-premise)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Cost to remediate i.e, aspbestos inspections, lead paint dipsosal,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7" authorId="0" shapeId="0" xr:uid="{00000000-0006-0000-0200-00000C000000}">
      <text>
        <r>
          <rPr>
            <sz val="9"/>
            <color indexed="81"/>
            <rFont val="Tahoma"/>
            <family val="2"/>
          </rPr>
          <t>Manually enter DOT original offer $</t>
        </r>
      </text>
    </comment>
    <comment ref="AN7" authorId="0" shapeId="0" xr:uid="{91812CD2-5E10-4D9A-9013-19A79766A837}">
      <text>
        <r>
          <rPr>
            <b/>
            <sz val="9"/>
            <color indexed="81"/>
            <rFont val="Tahoma"/>
            <family val="2"/>
          </rPr>
          <t>Total acquitision cost (including prorated taxes, relocation costs, hazmat, owenr's appraisal, etc after closing (used )for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7" authorId="0" shapeId="0" xr:uid="{91F735F5-8CD6-42D4-8D1D-75759A182E76}">
      <text>
        <r>
          <rPr>
            <b/>
            <sz val="9"/>
            <color indexed="81"/>
            <rFont val="Tahoma"/>
            <family val="2"/>
          </rPr>
          <t>Total Litigation costs (including settlement amount, attorney fees paid, etc after litigation is completed) (used 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7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explain reason for divergence between estimate and actual</t>
        </r>
      </text>
    </comment>
    <comment ref="A8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TPP # (County Tax Id#)
</t>
        </r>
      </text>
    </comment>
    <comment ref="B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See REPM Definitions
</t>
        </r>
      </text>
    </comment>
    <comment ref="D8" authorId="1" shapeId="0" xr:uid="{22FC6EB6-06C0-4646-AC55-239A96663E20}">
      <text>
        <r>
          <rPr>
            <b/>
            <sz val="9"/>
            <color indexed="81"/>
            <rFont val="Tahoma"/>
            <family val="2"/>
          </rPr>
          <t>Is the parcel for the sole use of bike/ped, only project or both?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8532A57A-F5BB-4B38-89E4-2C35EC630F66}">
      <text>
        <r>
          <rPr>
            <b/>
            <sz val="9"/>
            <color indexed="81"/>
            <rFont val="Tahoma"/>
            <family val="2"/>
          </rPr>
          <t>includes displacements and personal property moves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not auto calculated. Varies on each PLE. Must manually 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show $ for each impact in previous column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  <author>RINGEL, ABIGAIL E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TPP # (County Tax Id#)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From county or municipality map.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From county records or title work.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From TPP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From Encroachment Report or staking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Impacted Screening, flower beds, shrubs, trees, etc.
</t>
        </r>
      </text>
    </comment>
    <comment ref="T8" authorId="0" shapeId="0" xr:uid="{83E8943E-DAF4-43F9-87DF-789A6262875B}">
      <text>
        <r>
          <rPr>
            <b/>
            <sz val="9"/>
            <color indexed="81"/>
            <rFont val="Tahoma"/>
            <family val="2"/>
          </rPr>
          <t>Any other impacted items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Is the acquistion large enough, have access and dimensions to be a separate buildable site?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Is the right of way getting significantly closer to the building improvements?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Is the grade of the road or acquisition area changing significantly?</t>
        </r>
      </text>
    </comment>
    <comment ref="AA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internal or external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acquiring access or changing access that may casue damage (compensable)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conforming to non-conforming, conventional to holding tank, change of highest and best use,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" authorId="1" shapeId="0" xr:uid="{1E4241E6-CDE9-44A0-A85F-682B2BF9682E}">
      <text>
        <r>
          <rPr>
            <b/>
            <sz val="9"/>
            <color indexed="81"/>
            <rFont val="Tahoma"/>
            <charset val="1"/>
          </rPr>
          <t xml:space="preserve">utility easements, life estate, ingress/egress easement, etc. </t>
        </r>
      </text>
    </comment>
    <comment ref="AI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autofilled, but may require changes or additions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<sst xmlns="http://schemas.openxmlformats.org/spreadsheetml/2006/main" count="537" uniqueCount="353">
  <si>
    <t>Project Wide Estimates</t>
  </si>
  <si>
    <t>Blue means data can be entered</t>
  </si>
  <si>
    <t>Orange means these cells are autofilled</t>
  </si>
  <si>
    <t xml:space="preserve">PROJECT I.D.   </t>
  </si>
  <si>
    <t>123-45-6789</t>
  </si>
  <si>
    <t xml:space="preserve">NAME OF ROAD </t>
  </si>
  <si>
    <t>DATE</t>
  </si>
  <si>
    <t>HIGHWAY NO.</t>
  </si>
  <si>
    <t>COUNTY</t>
  </si>
  <si>
    <t xml:space="preserve">      PREPARED by  </t>
  </si>
  <si>
    <t xml:space="preserve"> </t>
  </si>
  <si>
    <t>R/E</t>
  </si>
  <si>
    <t>PROJ</t>
  </si>
  <si>
    <t>RELOC</t>
  </si>
  <si>
    <t>SITE</t>
  </si>
  <si>
    <t>TOTAL</t>
  </si>
  <si>
    <t>Type descriptions and units can be modified for project needs</t>
  </si>
  <si>
    <t>NO. of</t>
  </si>
  <si>
    <t>MANG'T</t>
  </si>
  <si>
    <t>ADMIN</t>
  </si>
  <si>
    <t>REVIEW</t>
  </si>
  <si>
    <t xml:space="preserve">  NOMINAL</t>
  </si>
  <si>
    <t>APPRAISAL</t>
  </si>
  <si>
    <t>NEGO</t>
  </si>
  <si>
    <t>ASS'T</t>
  </si>
  <si>
    <t>CLEARANCE</t>
  </si>
  <si>
    <t>WITH STAFF</t>
  </si>
  <si>
    <t>WITHOUT</t>
  </si>
  <si>
    <t xml:space="preserve">TYPE OF PARCEL </t>
  </si>
  <si>
    <t>PARCELS</t>
  </si>
  <si>
    <t>241</t>
  </si>
  <si>
    <t>254</t>
  </si>
  <si>
    <t>256</t>
  </si>
  <si>
    <t>247</t>
  </si>
  <si>
    <t>260</t>
  </si>
  <si>
    <t>APPRAISALS</t>
  </si>
  <si>
    <t>NOMINAL</t>
  </si>
  <si>
    <t xml:space="preserve">INTERMEDIATE </t>
  </si>
  <si>
    <t>Type of Land</t>
  </si>
  <si>
    <t>price/unit</t>
  </si>
  <si>
    <t>unit</t>
  </si>
  <si>
    <t>Comments</t>
  </si>
  <si>
    <t>INTERMEDIATE IMPROVED</t>
  </si>
  <si>
    <t>Agricultural 1</t>
  </si>
  <si>
    <t xml:space="preserve">MAJOR </t>
  </si>
  <si>
    <t>Agricultural 2</t>
  </si>
  <si>
    <t>ac</t>
  </si>
  <si>
    <t>MAJOR IMPROVED</t>
  </si>
  <si>
    <t>Residential 1</t>
  </si>
  <si>
    <t xml:space="preserve">COMPLEX </t>
  </si>
  <si>
    <t>Residential 2</t>
  </si>
  <si>
    <t>COMPLEX IMPROVED</t>
  </si>
  <si>
    <t>Commercial 1</t>
  </si>
  <si>
    <t xml:space="preserve">  TOTAL PARCELS</t>
  </si>
  <si>
    <t>Commercial 2</t>
  </si>
  <si>
    <t>do not change these numbers</t>
  </si>
  <si>
    <t>WORKDAYS</t>
  </si>
  <si>
    <t>Industrial 1</t>
  </si>
  <si>
    <t xml:space="preserve">   SIGNS  PARCELS</t>
  </si>
  <si>
    <t>Industrial 2</t>
  </si>
  <si>
    <t>Other 1</t>
  </si>
  <si>
    <t xml:space="preserve">  TOTAL PARCELS &amp; SIGNS</t>
  </si>
  <si>
    <t>Other</t>
  </si>
  <si>
    <t>Total   Parcels   &amp;   Sign   Mandays</t>
  </si>
  <si>
    <t>Workdays</t>
  </si>
  <si>
    <t xml:space="preserve">  *   254 If two staff appraiser double figure.</t>
  </si>
  <si>
    <t xml:space="preserve">  **  246 If relocatees 8.0 days "have been" added.</t>
  </si>
  <si>
    <t>Add Ons</t>
  </si>
  <si>
    <t xml:space="preserve">  *** 260 Add days for rental or sale if Major project requiring significant time</t>
  </si>
  <si>
    <t>TOTAL PROJECT WORKDAYS</t>
  </si>
  <si>
    <t>DAYS   X</t>
  </si>
  <si>
    <t>=</t>
  </si>
  <si>
    <t>( SAY )</t>
  </si>
  <si>
    <t>Delivery Hours</t>
  </si>
  <si>
    <t xml:space="preserve">PREPARED by  </t>
  </si>
  <si>
    <t>Do Not Change This Table.  It is autofilled.</t>
  </si>
  <si>
    <t>Can add or subtract workdays for project needs</t>
  </si>
  <si>
    <t>Individual Parcel Estimate</t>
  </si>
  <si>
    <t>Delivery</t>
  </si>
  <si>
    <t>Non-Delivery Estimate</t>
  </si>
  <si>
    <t>Appraisal</t>
  </si>
  <si>
    <t>Negotiation</t>
  </si>
  <si>
    <t>Relocation</t>
  </si>
  <si>
    <t>Property Management</t>
  </si>
  <si>
    <t>Site Clearance $</t>
  </si>
  <si>
    <t>Extra Expenses Incl. Title updates $</t>
  </si>
  <si>
    <t>Admin Cost $</t>
  </si>
  <si>
    <t>Total Parcel Size</t>
  </si>
  <si>
    <t>Fee Size Needed</t>
  </si>
  <si>
    <t>Fee Value $</t>
  </si>
  <si>
    <t>Property Type</t>
  </si>
  <si>
    <t>TLE Size Needed</t>
  </si>
  <si>
    <t>TLE Value $</t>
  </si>
  <si>
    <t>Fee Acquisition $</t>
  </si>
  <si>
    <t>TLE Acquisition $</t>
  </si>
  <si>
    <t>Improvements &amp; Non-Fee (severance, cost to cure, etc) $</t>
  </si>
  <si>
    <t>Relocation $</t>
  </si>
  <si>
    <t>Prorated RE Taxes $</t>
  </si>
  <si>
    <t>Owners Appraisal $</t>
  </si>
  <si>
    <t>Signs / Billboards $</t>
  </si>
  <si>
    <t>Hazmat $</t>
  </si>
  <si>
    <t>Contingency $</t>
  </si>
  <si>
    <t>Orginal Estimate $</t>
  </si>
  <si>
    <t>Original Offer $</t>
  </si>
  <si>
    <t>Closed Acquistion $</t>
  </si>
  <si>
    <t>Litigation $ (if Majors Project)</t>
  </si>
  <si>
    <t>Difference in Estimate and Actual $</t>
  </si>
  <si>
    <t>Par# (Tax ID#)</t>
  </si>
  <si>
    <t>Owner Name</t>
  </si>
  <si>
    <t>Parcel Type</t>
  </si>
  <si>
    <t>who</t>
  </si>
  <si>
    <t>cost</t>
  </si>
  <si>
    <t>Zoning</t>
  </si>
  <si>
    <t>PLE Size Needed</t>
  </si>
  <si>
    <t>PLE Value $</t>
  </si>
  <si>
    <t>PLE Acquisition $</t>
  </si>
  <si>
    <t>Cost Breakdown</t>
  </si>
  <si>
    <t>Totals:</t>
  </si>
  <si>
    <t>Actual:</t>
  </si>
  <si>
    <t>Who</t>
  </si>
  <si>
    <t>Yes</t>
  </si>
  <si>
    <t>ONLY add rows to the end of the list</t>
  </si>
  <si>
    <t>N</t>
  </si>
  <si>
    <t>In-house</t>
  </si>
  <si>
    <t>No</t>
  </si>
  <si>
    <t>Residential</t>
  </si>
  <si>
    <t>I</t>
  </si>
  <si>
    <t>Workshare</t>
  </si>
  <si>
    <t>Multi-Family</t>
  </si>
  <si>
    <t>II</t>
  </si>
  <si>
    <t>Consultant</t>
  </si>
  <si>
    <t>Commercial</t>
  </si>
  <si>
    <t>M</t>
  </si>
  <si>
    <t>Industrial</t>
  </si>
  <si>
    <t>MI</t>
  </si>
  <si>
    <t>Agricultural</t>
  </si>
  <si>
    <t>C</t>
  </si>
  <si>
    <t>Recreational</t>
  </si>
  <si>
    <t>CI</t>
  </si>
  <si>
    <t>Other 2</t>
  </si>
  <si>
    <t>This Autofills. Do NOT Change</t>
  </si>
  <si>
    <t>Administrative</t>
  </si>
  <si>
    <t>Site Clearance</t>
  </si>
  <si>
    <t>Extra Expenses</t>
  </si>
  <si>
    <t>I/E</t>
  </si>
  <si>
    <t>C/E</t>
  </si>
  <si>
    <t>Total</t>
  </si>
  <si>
    <t>Total I/E</t>
  </si>
  <si>
    <t>Total C/E</t>
  </si>
  <si>
    <t>Total Delivery</t>
  </si>
  <si>
    <t>Non-Delivery</t>
  </si>
  <si>
    <t>Fee</t>
  </si>
  <si>
    <t>TLE Acquisition</t>
  </si>
  <si>
    <t>Non-Fee</t>
  </si>
  <si>
    <t>Owners</t>
  </si>
  <si>
    <t>20% of fee/non-fee</t>
  </si>
  <si>
    <t>Acquisition</t>
  </si>
  <si>
    <t>RE Taxes</t>
  </si>
  <si>
    <t>Signs</t>
  </si>
  <si>
    <t>Hazmat</t>
  </si>
  <si>
    <t>Appraisals</t>
  </si>
  <si>
    <t>Contingency</t>
  </si>
  <si>
    <t>Note:  Parcels closed past time to appeal removed from litigation.</t>
  </si>
  <si>
    <t>Total Non-Delivery</t>
  </si>
  <si>
    <t>PROJECT ESTIMATE</t>
  </si>
  <si>
    <t>Appraisal Status</t>
  </si>
  <si>
    <t>No Offers</t>
  </si>
  <si>
    <t>Pending DOT Offers</t>
  </si>
  <si>
    <t>Closed</t>
  </si>
  <si>
    <t>Project Budget (FIIPS)</t>
  </si>
  <si>
    <t>Date Completed:</t>
  </si>
  <si>
    <t>Person Completing Form:</t>
  </si>
  <si>
    <t>Green means data can be entered</t>
  </si>
  <si>
    <t>Yellow means these cells are autofilled</t>
  </si>
  <si>
    <t>POTENTIAL SEVERANCE DAMAGE</t>
  </si>
  <si>
    <t>Parcel # (Tax ID #):</t>
  </si>
  <si>
    <t>Owner Name:</t>
  </si>
  <si>
    <t>Existing Use:</t>
  </si>
  <si>
    <t>Zoning:</t>
  </si>
  <si>
    <t>Fee Size:</t>
  </si>
  <si>
    <t>TLE Size:</t>
  </si>
  <si>
    <t>PLE Size:</t>
  </si>
  <si>
    <t>HE Size:</t>
  </si>
  <si>
    <t>Encroachments (Describe):</t>
  </si>
  <si>
    <t>On or Off-Premise Signs (Describe):</t>
  </si>
  <si>
    <t>Proximity (Y/N):</t>
  </si>
  <si>
    <t>Grade Change (Y/N):</t>
  </si>
  <si>
    <t>Circuity (Y/N):</t>
  </si>
  <si>
    <t>Access (Y/N):</t>
  </si>
  <si>
    <t>Loss of Parking (Y/N):</t>
  </si>
  <si>
    <t>Other Severance (Describe):</t>
  </si>
  <si>
    <t>Need for Third Party Estimates (Y/N):</t>
  </si>
  <si>
    <t>Potential Separate Entity (Y/N):</t>
  </si>
  <si>
    <t>Task</t>
  </si>
  <si>
    <t>Actual</t>
  </si>
  <si>
    <t>Conceptual Stage Reocation Plan</t>
  </si>
  <si>
    <t>30 days before prelim plat</t>
  </si>
  <si>
    <t>DSR Approved</t>
  </si>
  <si>
    <t>Preliminary Plat submitted to RE</t>
  </si>
  <si>
    <t>Appraisal &amp; Acquisition Scoping Completed</t>
  </si>
  <si>
    <t>Contracts started</t>
  </si>
  <si>
    <t>21 days before start up meeting</t>
  </si>
  <si>
    <t>14 days before start up meeting</t>
  </si>
  <si>
    <t>Plat Recorded</t>
  </si>
  <si>
    <t>Start Up Meeting</t>
  </si>
  <si>
    <t>Sales Study Submitted for review</t>
  </si>
  <si>
    <t>40 days before Sales study Approval</t>
  </si>
  <si>
    <t>Sales Study Approved</t>
  </si>
  <si>
    <t>14 days before NPPR submitted</t>
  </si>
  <si>
    <t xml:space="preserve">Staking  </t>
  </si>
  <si>
    <t>21 days before NPPR submitted</t>
  </si>
  <si>
    <t>NPPR submitted for review</t>
  </si>
  <si>
    <t>21 days before NPPR approved</t>
  </si>
  <si>
    <t>NPPR Approved</t>
  </si>
  <si>
    <t>21 days before nominal offers out</t>
  </si>
  <si>
    <t>Nominal offers out</t>
  </si>
  <si>
    <t xml:space="preserve">30 days before flipping </t>
  </si>
  <si>
    <t>Acquisition Stage Relocation Plan</t>
  </si>
  <si>
    <t>90 days after plat recorded</t>
  </si>
  <si>
    <t>Flip remaining nominals</t>
  </si>
  <si>
    <t>45 days before appraisal submission</t>
  </si>
  <si>
    <t>60 days before apraisal approval</t>
  </si>
  <si>
    <t>14 days before offer date</t>
  </si>
  <si>
    <t>90 days before JO date</t>
  </si>
  <si>
    <t>Finalize agreed negotiations</t>
  </si>
  <si>
    <t>14 days before JO date</t>
  </si>
  <si>
    <t>Last date to JO</t>
  </si>
  <si>
    <t>45 days before Target date</t>
  </si>
  <si>
    <t>Order Checks</t>
  </si>
  <si>
    <t>21 days before paying owner</t>
  </si>
  <si>
    <t>JO expiration date</t>
  </si>
  <si>
    <t>20 days after JO</t>
  </si>
  <si>
    <t>Owner Paid</t>
  </si>
  <si>
    <t>7 days before recording</t>
  </si>
  <si>
    <t>Relocations vacated</t>
  </si>
  <si>
    <t>must be vacated before razing contract awarded</t>
  </si>
  <si>
    <t>begin 6 months before PS&amp;E</t>
  </si>
  <si>
    <t>Target Acquisition Date/Utility date</t>
  </si>
  <si>
    <t xml:space="preserve">7 mths before PS&amp;E </t>
  </si>
  <si>
    <t>Documents submitted for Review (LPA)</t>
  </si>
  <si>
    <t>28 days before PS&amp;E</t>
  </si>
  <si>
    <t>Relocation Assistance &amp; Advisory Services</t>
  </si>
  <si>
    <t>PS&amp;E</t>
  </si>
  <si>
    <t>Ad</t>
  </si>
  <si>
    <t>Let date</t>
  </si>
  <si>
    <t># days</t>
  </si>
  <si>
    <t>#months</t>
  </si>
  <si>
    <t>Owner's appraisal due (if applicable)</t>
  </si>
  <si>
    <t>60 days after appraisal delivered</t>
  </si>
  <si>
    <t>14 days before plat recording</t>
  </si>
  <si>
    <t>Award recorded</t>
  </si>
  <si>
    <t>Signed Conveyance Recorded</t>
  </si>
  <si>
    <t>14 days after JO Expiration</t>
  </si>
  <si>
    <t>7 days after Owner paid</t>
  </si>
  <si>
    <t>42 days before sales study submitted</t>
  </si>
  <si>
    <t>56 days before contract complete</t>
  </si>
  <si>
    <t>21 days before contract started</t>
  </si>
  <si>
    <t>21 days before scoping completion</t>
  </si>
  <si>
    <t>Encumbrance Cost Estimate/PCA Completed</t>
  </si>
  <si>
    <t>Consultant (acq, relo, appraisal) Contracts Completed / Internal staff assigned</t>
  </si>
  <si>
    <t>Real Estate Project Start Date</t>
  </si>
  <si>
    <t>26 months before PS&amp;E</t>
  </si>
  <si>
    <t>Real Estate/Utility Coordination</t>
  </si>
  <si>
    <t>Additional Days</t>
  </si>
  <si>
    <t>Easemnts / Other Parties of Interest</t>
  </si>
  <si>
    <t>Site Improvements:</t>
  </si>
  <si>
    <t>Relocation Y/N</t>
  </si>
  <si>
    <t xml:space="preserve">Building Improvements (house, garage, shed, etc.): </t>
  </si>
  <si>
    <t>Appraisal Types</t>
  </si>
  <si>
    <t>Short Form</t>
  </si>
  <si>
    <t>Standard Abbreviated</t>
  </si>
  <si>
    <t>Before &amp; After</t>
  </si>
  <si>
    <t>Priority Marker</t>
  </si>
  <si>
    <t>High</t>
  </si>
  <si>
    <t>Medium</t>
  </si>
  <si>
    <t>Low</t>
  </si>
  <si>
    <t>Existing Use</t>
  </si>
  <si>
    <t>Special Use</t>
  </si>
  <si>
    <t>Parcel Scoping Checklist</t>
  </si>
  <si>
    <t>N - nominal</t>
  </si>
  <si>
    <t>I - Intermediate</t>
  </si>
  <si>
    <t>II - Intermediate Improved</t>
  </si>
  <si>
    <t>M - Major</t>
  </si>
  <si>
    <t>MI - Major Improved</t>
  </si>
  <si>
    <t>C - Complex</t>
  </si>
  <si>
    <t>CI - Complex Improved</t>
  </si>
  <si>
    <t>Agent/Leadworker to verify that Autofilled cells are accurate before sending to negotiator/appraiser.  Appraiser to verify information as part of appraisal process</t>
  </si>
  <si>
    <t>Signs:</t>
  </si>
  <si>
    <t>Parcel Type:</t>
  </si>
  <si>
    <t>Existing ROW Size:</t>
  </si>
  <si>
    <t>Total Parcel Size:</t>
  </si>
  <si>
    <t>Priority Parcel:</t>
  </si>
  <si>
    <t>Owner Concerns:</t>
  </si>
  <si>
    <t>Appraisal:</t>
  </si>
  <si>
    <t>Improvements Impacted:</t>
  </si>
  <si>
    <t>Appraisal Type:</t>
  </si>
  <si>
    <t>Potential Alternate Offer (Y/N):</t>
  </si>
  <si>
    <t>Partial Releases (Y/N):</t>
  </si>
  <si>
    <t>Contract Amendment</t>
  </si>
  <si>
    <t>enter additional days as needed</t>
  </si>
  <si>
    <t>Scheduled Dates</t>
  </si>
  <si>
    <t>WAIVER OF APPRAISAL</t>
  </si>
  <si>
    <t>W</t>
  </si>
  <si>
    <t>Town/Village</t>
  </si>
  <si>
    <t>Sale Date</t>
  </si>
  <si>
    <t>Tax ID</t>
  </si>
  <si>
    <t>Acres</t>
  </si>
  <si>
    <t>Sq ft</t>
  </si>
  <si>
    <t>Price</t>
  </si>
  <si>
    <t>Price/acre</t>
  </si>
  <si>
    <t>Price/Sq Ft</t>
  </si>
  <si>
    <t>Address/Location</t>
  </si>
  <si>
    <t>Conveyance # / MLS #</t>
  </si>
  <si>
    <t>Property Characteristics</t>
  </si>
  <si>
    <t>Setup Project in READS</t>
  </si>
  <si>
    <t>7 days before DSR Approval</t>
  </si>
  <si>
    <t>STH 123</t>
  </si>
  <si>
    <t>Acme</t>
  </si>
  <si>
    <t>JPA</t>
  </si>
  <si>
    <t>modules in learn center</t>
  </si>
  <si>
    <t>7500 Smith St</t>
  </si>
  <si>
    <t>WD 456</t>
  </si>
  <si>
    <t>T Maple Grove</t>
  </si>
  <si>
    <t>Ag 1</t>
  </si>
  <si>
    <t>Ag</t>
  </si>
  <si>
    <t>12-4567-235</t>
  </si>
  <si>
    <t>open ag, level</t>
  </si>
  <si>
    <t>non-irrigated, arm's length</t>
  </si>
  <si>
    <t>Wrightstown parcels</t>
  </si>
  <si>
    <t>Parcel Types (see REPM 2.1.3):</t>
  </si>
  <si>
    <t>Appraisal submitted for review</t>
  </si>
  <si>
    <t>Appraisal approved</t>
  </si>
  <si>
    <t>Offer/relocation packet to owner</t>
  </si>
  <si>
    <t>Razing (begin contract docs, contact BPD, Advertise, bid opening, Contract award, Demo)</t>
  </si>
  <si>
    <t>Delivery - Agency only</t>
  </si>
  <si>
    <t xml:space="preserve">relocation assistance and advisory services are on going through the acquisition process and until up to 2 years after vacate date.  </t>
  </si>
  <si>
    <t>Smith Street to County Line</t>
  </si>
  <si>
    <t>sf</t>
  </si>
  <si>
    <t xml:space="preserve">Irrigated </t>
  </si>
  <si>
    <t>non-irrigated</t>
  </si>
  <si>
    <t>under 2 ac</t>
  </si>
  <si>
    <t>over 2 ac</t>
  </si>
  <si>
    <t>under 1 ac</t>
  </si>
  <si>
    <t>over 1 ac</t>
  </si>
  <si>
    <t>in industrial park</t>
  </si>
  <si>
    <t>rural industrial</t>
  </si>
  <si>
    <t>waterfront</t>
  </si>
  <si>
    <t>Bike/Pedestrian (Wis Stats 32.015)</t>
  </si>
  <si>
    <t>Both</t>
  </si>
  <si>
    <t>Bike/Ped Type</t>
  </si>
  <si>
    <t xml:space="preserve">Bike/Ped </t>
  </si>
  <si>
    <t>Roadway</t>
  </si>
  <si>
    <t>Bike/Ped (Wis Stats 32.105)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</si>
</sst>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</numFmts>
  <fonts count="33">
    <font>
      <sz val="10"/>
      <name val="Arial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2"/>
      <name val="Univers"/>
      <family val="2"/>
    </font>
    <font>
      <b/>
      <sz val="16"/>
      <name val="Univers"/>
      <family val="2"/>
    </font>
    <font>
      <b/>
      <sz val="18"/>
      <name val="Univers"/>
      <family val="2"/>
    </font>
    <font>
      <sz val="14"/>
      <name val="Univers"/>
      <family val="2"/>
    </font>
    <font>
      <sz val="12"/>
      <color indexed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2"/>
      <color indexed="12"/>
      <name val="Univers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Univers"/>
      <family val="2"/>
    </font>
    <font>
      <b/>
      <sz val="16"/>
      <color rgb="FFFF0000"/>
      <name val="Univers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Univers"/>
      <family val="2"/>
    </font>
    <font>
      <b/>
      <sz val="9"/>
      <color indexed="81"/>
      <name val="Tahoma"/>
      <charset val="1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413">
    <xf numFmtId="0" fontId="0" fillId="0" borderId="0" xfId="0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9" xfId="2" applyNumberFormat="1" applyFont="1" applyBorder="1" applyAlignment="1" applyProtection="1">
      <alignment horizontal="left" vertical="center"/>
    </xf>
    <xf numFmtId="5" fontId="9" fillId="0" borderId="1" xfId="2" applyNumberFormat="1" applyFont="1" applyBorder="1" applyAlignment="1" applyProtection="1">
      <alignment horizontal="left" vertical="center"/>
    </xf>
    <xf numFmtId="164" fontId="9" fillId="0" borderId="1" xfId="2" applyNumberFormat="1" applyFont="1" applyBorder="1" applyAlignment="1" applyProtection="1">
      <alignment horizontal="left" vertical="center"/>
    </xf>
    <xf numFmtId="164" fontId="8" fillId="0" borderId="11" xfId="2" applyNumberFormat="1" applyFont="1" applyBorder="1" applyAlignment="1" applyProtection="1">
      <alignment horizontal="left" vertical="center"/>
    </xf>
    <xf numFmtId="5" fontId="11" fillId="0" borderId="0" xfId="2" applyNumberFormat="1" applyFont="1" applyBorder="1" applyAlignment="1" applyProtection="1">
      <alignment vertical="center"/>
    </xf>
    <xf numFmtId="5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left" vertical="center"/>
    </xf>
    <xf numFmtId="164" fontId="11" fillId="0" borderId="0" xfId="2" applyNumberFormat="1" applyFont="1" applyBorder="1" applyAlignment="1" applyProtection="1">
      <alignment vertical="center"/>
    </xf>
    <xf numFmtId="39" fontId="9" fillId="3" borderId="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vertical="center"/>
    </xf>
    <xf numFmtId="164" fontId="8" fillId="0" borderId="12" xfId="2" applyNumberFormat="1" applyFont="1" applyBorder="1" applyAlignment="1" applyProtection="1">
      <alignment horizontal="left" vertical="center"/>
    </xf>
    <xf numFmtId="39" fontId="9" fillId="0" borderId="13" xfId="2" applyNumberFormat="1" applyFont="1" applyBorder="1" applyAlignment="1" applyProtection="1">
      <alignment vertical="center"/>
    </xf>
    <xf numFmtId="164" fontId="9" fillId="3" borderId="1" xfId="2" quotePrefix="1" applyNumberFormat="1" applyFont="1" applyFill="1" applyBorder="1" applyAlignment="1" applyProtection="1">
      <alignment horizontal="left" vertical="center"/>
    </xf>
    <xf numFmtId="39" fontId="13" fillId="0" borderId="0" xfId="2" applyNumberFormat="1" applyFont="1" applyBorder="1" applyAlignment="1" applyProtection="1">
      <alignment vertical="center"/>
    </xf>
    <xf numFmtId="164" fontId="8" fillId="0" borderId="14" xfId="2" applyNumberFormat="1" applyFont="1" applyBorder="1" applyAlignment="1" applyProtection="1">
      <alignment horizontal="left" vertical="center"/>
    </xf>
    <xf numFmtId="164" fontId="14" fillId="0" borderId="12" xfId="2" applyNumberFormat="1" applyFont="1" applyBorder="1" applyAlignment="1" applyProtection="1">
      <alignment horizontal="left" vertical="center"/>
    </xf>
    <xf numFmtId="39" fontId="8" fillId="3" borderId="3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left" vertical="center"/>
    </xf>
    <xf numFmtId="39" fontId="8" fillId="0" borderId="17" xfId="2" applyNumberFormat="1" applyFont="1" applyBorder="1" applyAlignment="1" applyProtection="1">
      <alignment horizontal="center" vertical="center"/>
    </xf>
    <xf numFmtId="39" fontId="8" fillId="4" borderId="18" xfId="2" applyNumberFormat="1" applyFont="1" applyFill="1" applyBorder="1" applyAlignment="1" applyProtection="1">
      <alignment vertical="center"/>
    </xf>
    <xf numFmtId="164" fontId="8" fillId="0" borderId="17" xfId="2" applyNumberFormat="1" applyFont="1" applyBorder="1" applyAlignment="1" applyProtection="1">
      <alignment horizontal="left" vertical="center"/>
    </xf>
    <xf numFmtId="164" fontId="8" fillId="0" borderId="19" xfId="2" applyNumberFormat="1" applyFont="1" applyBorder="1" applyAlignment="1" applyProtection="1">
      <alignment horizontal="left" vertical="center"/>
    </xf>
    <xf numFmtId="164" fontId="14" fillId="0" borderId="21" xfId="2" applyNumberFormat="1" applyFont="1" applyBorder="1" applyAlignment="1" applyProtection="1">
      <alignment horizontal="left" vertical="center"/>
    </xf>
    <xf numFmtId="39" fontId="8" fillId="3" borderId="13" xfId="2" applyNumberFormat="1" applyFont="1" applyFill="1" applyBorder="1" applyAlignment="1" applyProtection="1">
      <alignment vertical="center"/>
    </xf>
    <xf numFmtId="39" fontId="8" fillId="3" borderId="2" xfId="2" applyNumberFormat="1" applyFont="1" applyFill="1" applyBorder="1" applyAlignment="1" applyProtection="1">
      <alignment vertical="center"/>
    </xf>
    <xf numFmtId="39" fontId="8" fillId="4" borderId="1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right" vertical="center"/>
    </xf>
    <xf numFmtId="39" fontId="8" fillId="0" borderId="13" xfId="2" applyNumberFormat="1" applyFont="1" applyBorder="1" applyAlignment="1" applyProtection="1">
      <alignment horizontal="right" vertical="center"/>
    </xf>
    <xf numFmtId="39" fontId="8" fillId="0" borderId="22" xfId="2" applyNumberFormat="1" applyFont="1" applyBorder="1" applyAlignment="1" applyProtection="1">
      <alignment horizontal="right" vertical="center"/>
    </xf>
    <xf numFmtId="164" fontId="14" fillId="0" borderId="24" xfId="2" applyNumberFormat="1" applyFont="1" applyBorder="1" applyAlignment="1" applyProtection="1">
      <alignment horizontal="left" vertical="center"/>
    </xf>
    <xf numFmtId="164" fontId="16" fillId="0" borderId="0" xfId="2" quotePrefix="1" applyNumberFormat="1" applyFont="1" applyBorder="1" applyAlignment="1" applyProtection="1">
      <alignment horizontal="center"/>
    </xf>
    <xf numFmtId="164" fontId="16" fillId="0" borderId="26" xfId="2" applyNumberFormat="1" applyFont="1" applyBorder="1" applyAlignment="1" applyProtection="1">
      <alignment horizontal="center"/>
    </xf>
    <xf numFmtId="164" fontId="16" fillId="0" borderId="14" xfId="2" applyNumberFormat="1" applyFont="1" applyBorder="1" applyAlignment="1" applyProtection="1">
      <alignment horizontal="center"/>
    </xf>
    <xf numFmtId="164" fontId="16" fillId="0" borderId="12" xfId="2" applyNumberFormat="1" applyFont="1" applyBorder="1" applyAlignment="1" applyProtection="1">
      <alignment horizontal="left"/>
    </xf>
    <xf numFmtId="164" fontId="16" fillId="0" borderId="0" xfId="2" applyNumberFormat="1" applyFont="1" applyBorder="1" applyAlignment="1" applyProtection="1">
      <alignment horizontal="center"/>
    </xf>
    <xf numFmtId="164" fontId="14" fillId="0" borderId="14" xfId="2" applyNumberFormat="1" applyFont="1" applyBorder="1" applyAlignment="1" applyProtection="1">
      <alignment horizontal="center" vertical="center"/>
    </xf>
    <xf numFmtId="164" fontId="16" fillId="0" borderId="27" xfId="2" applyNumberFormat="1" applyFont="1" applyBorder="1" applyAlignment="1" applyProtection="1">
      <alignment horizontal="center"/>
    </xf>
    <xf numFmtId="164" fontId="16" fillId="0" borderId="28" xfId="2" applyNumberFormat="1" applyFont="1" applyBorder="1" applyAlignment="1" applyProtection="1">
      <alignment horizontal="center"/>
    </xf>
    <xf numFmtId="164" fontId="16" fillId="0" borderId="28" xfId="2" applyNumberFormat="1" applyFont="1" applyBorder="1" applyAlignment="1" applyProtection="1">
      <alignment horizontal="left"/>
    </xf>
    <xf numFmtId="164" fontId="16" fillId="0" borderId="29" xfId="2" applyNumberFormat="1" applyFont="1" applyBorder="1" applyAlignment="1" applyProtection="1">
      <alignment horizontal="left"/>
    </xf>
    <xf numFmtId="164" fontId="8" fillId="0" borderId="0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left"/>
    </xf>
    <xf numFmtId="164" fontId="14" fillId="0" borderId="0" xfId="2" applyNumberFormat="1" applyFont="1" applyAlignment="1" applyProtection="1">
      <alignment horizontal="left"/>
    </xf>
    <xf numFmtId="39" fontId="14" fillId="0" borderId="0" xfId="2" applyNumberFormat="1" applyFont="1" applyBorder="1" applyAlignment="1" applyProtection="1">
      <alignment horizontal="left" vertical="center"/>
    </xf>
    <xf numFmtId="39" fontId="8" fillId="0" borderId="0" xfId="2" applyNumberFormat="1" applyFont="1" applyFill="1" applyBorder="1" applyAlignment="1" applyProtection="1">
      <alignment vertical="center"/>
    </xf>
    <xf numFmtId="39" fontId="9" fillId="0" borderId="0" xfId="2" applyNumberFormat="1" applyFont="1" applyFill="1" applyBorder="1" applyAlignment="1" applyProtection="1">
      <alignment vertical="center"/>
    </xf>
    <xf numFmtId="5" fontId="10" fillId="3" borderId="31" xfId="2" applyNumberFormat="1" applyFont="1" applyFill="1" applyBorder="1" applyAlignment="1" applyProtection="1">
      <alignment horizontal="left" vertical="center"/>
    </xf>
    <xf numFmtId="5" fontId="10" fillId="3" borderId="32" xfId="2" applyNumberFormat="1" applyFont="1" applyFill="1" applyBorder="1" applyAlignment="1" applyProtection="1">
      <alignment horizontal="centerContinuous" vertical="center"/>
    </xf>
    <xf numFmtId="5" fontId="10" fillId="3" borderId="33" xfId="2" applyNumberFormat="1" applyFont="1" applyFill="1" applyBorder="1" applyAlignment="1" applyProtection="1">
      <alignment horizontal="centerContinuous" vertical="center"/>
    </xf>
    <xf numFmtId="0" fontId="0" fillId="0" borderId="0" xfId="0" applyProtection="1"/>
    <xf numFmtId="164" fontId="17" fillId="0" borderId="0" xfId="2" applyNumberFormat="1" applyFont="1" applyProtection="1"/>
    <xf numFmtId="164" fontId="12" fillId="0" borderId="0" xfId="2" applyNumberFormat="1" applyFont="1" applyProtection="1"/>
    <xf numFmtId="164" fontId="14" fillId="0" borderId="0" xfId="2" applyFont="1" applyProtection="1"/>
    <xf numFmtId="164" fontId="8" fillId="0" borderId="0" xfId="2" applyFont="1" applyProtection="1"/>
    <xf numFmtId="0" fontId="0" fillId="0" borderId="0" xfId="0" applyAlignment="1" applyProtection="1">
      <alignment horizontal="right"/>
    </xf>
    <xf numFmtId="164" fontId="14" fillId="0" borderId="0" xfId="2" applyFont="1" applyAlignment="1" applyProtection="1">
      <alignment horizontal="right"/>
    </xf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164" fontId="16" fillId="0" borderId="12" xfId="2" applyFont="1" applyBorder="1" applyProtection="1"/>
    <xf numFmtId="164" fontId="8" fillId="0" borderId="0" xfId="2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8" fillId="0" borderId="0" xfId="2" applyNumberFormat="1" applyFont="1" applyFill="1" applyBorder="1" applyAlignment="1" applyProtection="1">
      <alignment vertical="center"/>
    </xf>
    <xf numFmtId="164" fontId="8" fillId="0" borderId="0" xfId="2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/>
    <xf numFmtId="0" fontId="8" fillId="0" borderId="0" xfId="0" applyFont="1" applyBorder="1" applyAlignment="1" applyProtection="1">
      <alignment horizontal="center" vertical="center"/>
    </xf>
    <xf numFmtId="39" fontId="0" fillId="0" borderId="0" xfId="0" applyNumberFormat="1" applyProtection="1"/>
    <xf numFmtId="164" fontId="8" fillId="0" borderId="17" xfId="2" applyFont="1" applyBorder="1" applyAlignment="1" applyProtection="1">
      <alignment vertical="center"/>
    </xf>
    <xf numFmtId="4" fontId="8" fillId="4" borderId="16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vertical="center"/>
    </xf>
    <xf numFmtId="164" fontId="8" fillId="0" borderId="11" xfId="2" applyFont="1" applyBorder="1" applyAlignment="1" applyProtection="1">
      <alignment vertical="center"/>
    </xf>
    <xf numFmtId="164" fontId="8" fillId="0" borderId="0" xfId="2" applyFont="1" applyFill="1" applyBorder="1" applyAlignment="1" applyProtection="1">
      <alignment vertical="center"/>
    </xf>
    <xf numFmtId="164" fontId="9" fillId="3" borderId="1" xfId="2" applyFont="1" applyFill="1" applyBorder="1" applyAlignment="1" applyProtection="1">
      <alignment horizontal="center" vertical="center"/>
    </xf>
    <xf numFmtId="164" fontId="9" fillId="3" borderId="1" xfId="2" applyFont="1" applyFill="1" applyBorder="1" applyAlignment="1" applyProtection="1">
      <alignment vertical="center"/>
    </xf>
    <xf numFmtId="39" fontId="12" fillId="0" borderId="11" xfId="2" applyNumberFormat="1" applyFont="1" applyBorder="1" applyAlignment="1" applyProtection="1">
      <alignment vertical="center"/>
    </xf>
    <xf numFmtId="39" fontId="12" fillId="0" borderId="0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horizontal="right" vertical="center"/>
    </xf>
    <xf numFmtId="0" fontId="0" fillId="0" borderId="11" xfId="0" applyBorder="1" applyProtection="1"/>
    <xf numFmtId="0" fontId="0" fillId="0" borderId="0" xfId="0" applyFill="1" applyProtection="1"/>
    <xf numFmtId="164" fontId="9" fillId="3" borderId="1" xfId="2" applyFont="1" applyFill="1" applyBorder="1" applyAlignment="1" applyProtection="1">
      <alignment horizontal="centerContinuous" vertical="center"/>
    </xf>
    <xf numFmtId="164" fontId="8" fillId="0" borderId="12" xfId="2" applyFont="1" applyBorder="1" applyAlignment="1" applyProtection="1">
      <alignment vertical="center"/>
    </xf>
    <xf numFmtId="164" fontId="8" fillId="0" borderId="10" xfId="2" applyFont="1" applyBorder="1" applyAlignment="1" applyProtection="1">
      <alignment vertical="center"/>
    </xf>
    <xf numFmtId="164" fontId="8" fillId="0" borderId="1" xfId="2" applyFont="1" applyBorder="1" applyAlignment="1" applyProtection="1">
      <alignment vertical="center"/>
    </xf>
    <xf numFmtId="164" fontId="8" fillId="3" borderId="20" xfId="2" applyNumberFormat="1" applyFont="1" applyFill="1" applyBorder="1" applyAlignment="1" applyProtection="1">
      <alignment horizontal="right" vertical="center"/>
    </xf>
    <xf numFmtId="164" fontId="8" fillId="3" borderId="15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4" fillId="2" borderId="3" xfId="1" applyNumberFormat="1" applyFont="1" applyFill="1" applyBorder="1" applyAlignment="1" applyProtection="1">
      <alignment horizontal="center"/>
    </xf>
    <xf numFmtId="0" fontId="3" fillId="2" borderId="3" xfId="2" applyNumberFormat="1" applyFont="1" applyFill="1" applyBorder="1" applyAlignment="1" applyProtection="1">
      <alignment horizontal="right"/>
    </xf>
    <xf numFmtId="0" fontId="3" fillId="2" borderId="3" xfId="2" applyNumberFormat="1" applyFont="1" applyFill="1" applyBorder="1" applyAlignment="1" applyProtection="1">
      <alignment horizontal="center"/>
    </xf>
    <xf numFmtId="44" fontId="3" fillId="2" borderId="3" xfId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4" fontId="1" fillId="0" borderId="0" xfId="1" applyFont="1" applyAlignment="1" applyProtection="1">
      <alignment horizontal="center"/>
    </xf>
    <xf numFmtId="44" fontId="1" fillId="0" borderId="0" xfId="1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9" borderId="3" xfId="2" applyNumberFormat="1" applyFont="1" applyFill="1" applyBorder="1" applyAlignment="1" applyProtection="1">
      <alignment horizontal="center" wrapText="1"/>
      <protection locked="0"/>
    </xf>
    <xf numFmtId="164" fontId="1" fillId="9" borderId="3" xfId="2" applyFont="1" applyFill="1" applyBorder="1" applyAlignment="1" applyProtection="1">
      <alignment horizontal="center"/>
      <protection locked="0"/>
    </xf>
    <xf numFmtId="164" fontId="1" fillId="9" borderId="3" xfId="2" applyFont="1" applyFill="1" applyBorder="1" applyAlignment="1" applyProtection="1">
      <alignment horizontal="center" wrapText="1"/>
      <protection locked="0"/>
    </xf>
    <xf numFmtId="44" fontId="1" fillId="9" borderId="3" xfId="1" applyFont="1" applyFill="1" applyBorder="1" applyAlignment="1" applyProtection="1">
      <alignment horizontal="center" wrapText="1"/>
      <protection locked="0"/>
    </xf>
    <xf numFmtId="49" fontId="17" fillId="9" borderId="0" xfId="2" applyNumberFormat="1" applyFont="1" applyFill="1" applyAlignment="1" applyProtection="1">
      <alignment horizontal="left"/>
      <protection locked="0"/>
    </xf>
    <xf numFmtId="164" fontId="17" fillId="9" borderId="0" xfId="2" applyNumberFormat="1" applyFont="1" applyFill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44" fontId="1" fillId="0" borderId="36" xfId="1" applyFont="1" applyBorder="1" applyAlignment="1" applyProtection="1">
      <alignment horizontal="center"/>
    </xf>
    <xf numFmtId="44" fontId="1" fillId="0" borderId="6" xfId="1" applyFont="1" applyBorder="1" applyAlignment="1" applyProtection="1">
      <alignment horizontal="center"/>
    </xf>
    <xf numFmtId="44" fontId="1" fillId="0" borderId="3" xfId="1" applyFont="1" applyBorder="1" applyAlignment="1" applyProtection="1">
      <alignment horizontal="center"/>
    </xf>
    <xf numFmtId="44" fontId="1" fillId="0" borderId="40" xfId="1" applyFont="1" applyBorder="1" applyAlignment="1" applyProtection="1">
      <alignment horizontal="center"/>
    </xf>
    <xf numFmtId="44" fontId="1" fillId="0" borderId="2" xfId="1" applyFont="1" applyBorder="1" applyAlignment="1" applyProtection="1">
      <alignment horizontal="center"/>
    </xf>
    <xf numFmtId="44" fontId="1" fillId="0" borderId="0" xfId="1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0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3" fillId="5" borderId="0" xfId="2" applyFont="1" applyFill="1" applyBorder="1" applyAlignment="1" applyProtection="1">
      <alignment horizontal="left"/>
    </xf>
    <xf numFmtId="165" fontId="1" fillId="0" borderId="0" xfId="1" applyNumberFormat="1" applyFont="1" applyProtection="1"/>
    <xf numFmtId="0" fontId="1" fillId="0" borderId="0" xfId="0" applyFont="1" applyFill="1" applyProtection="1"/>
    <xf numFmtId="164" fontId="4" fillId="0" borderId="0" xfId="2" applyFont="1" applyFill="1" applyBorder="1" applyAlignment="1" applyProtection="1">
      <alignment horizontal="left"/>
    </xf>
    <xf numFmtId="44" fontId="1" fillId="0" borderId="0" xfId="1" applyFont="1" applyProtection="1"/>
    <xf numFmtId="44" fontId="1" fillId="0" borderId="0" xfId="1" applyFont="1" applyBorder="1" applyProtection="1"/>
    <xf numFmtId="165" fontId="1" fillId="0" borderId="0" xfId="0" applyNumberFormat="1" applyFont="1" applyProtection="1"/>
    <xf numFmtId="0" fontId="18" fillId="5" borderId="0" xfId="0" applyFont="1" applyFill="1" applyProtection="1"/>
    <xf numFmtId="44" fontId="18" fillId="5" borderId="0" xfId="1" applyFont="1" applyFill="1" applyProtection="1"/>
    <xf numFmtId="0" fontId="3" fillId="6" borderId="0" xfId="0" applyFont="1" applyFill="1" applyBorder="1" applyProtection="1"/>
    <xf numFmtId="164" fontId="4" fillId="6" borderId="0" xfId="2" applyFont="1" applyFill="1" applyBorder="1" applyAlignment="1" applyProtection="1">
      <alignment horizontal="center"/>
    </xf>
    <xf numFmtId="0" fontId="1" fillId="6" borderId="0" xfId="0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9" fontId="19" fillId="6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165" fontId="1" fillId="0" borderId="0" xfId="1" applyNumberFormat="1" applyFont="1" applyBorder="1" applyProtection="1"/>
    <xf numFmtId="44" fontId="1" fillId="0" borderId="0" xfId="0" applyNumberFormat="1" applyFont="1" applyBorder="1" applyProtection="1"/>
    <xf numFmtId="44" fontId="0" fillId="0" borderId="0" xfId="0" applyNumberFormat="1" applyBorder="1" applyProtection="1"/>
    <xf numFmtId="44" fontId="0" fillId="0" borderId="0" xfId="0" applyNumberFormat="1" applyProtection="1"/>
    <xf numFmtId="0" fontId="18" fillId="6" borderId="0" xfId="0" applyFont="1" applyFill="1" applyProtection="1"/>
    <xf numFmtId="165" fontId="18" fillId="6" borderId="0" xfId="1" applyNumberFormat="1" applyFont="1" applyFill="1" applyProtection="1"/>
    <xf numFmtId="0" fontId="18" fillId="0" borderId="0" xfId="0" applyFont="1" applyFill="1" applyProtection="1"/>
    <xf numFmtId="165" fontId="18" fillId="0" borderId="0" xfId="1" applyNumberFormat="1" applyFont="1" applyFill="1" applyProtection="1"/>
    <xf numFmtId="0" fontId="20" fillId="0" borderId="0" xfId="0" applyFont="1" applyProtection="1"/>
    <xf numFmtId="165" fontId="20" fillId="0" borderId="0" xfId="1" applyNumberFormat="1" applyFont="1" applyProtection="1"/>
    <xf numFmtId="0" fontId="3" fillId="0" borderId="0" xfId="0" applyFont="1" applyProtection="1"/>
    <xf numFmtId="165" fontId="3" fillId="0" borderId="0" xfId="1" applyNumberFormat="1" applyFont="1" applyProtection="1"/>
    <xf numFmtId="0" fontId="3" fillId="0" borderId="30" xfId="0" applyFont="1" applyBorder="1" applyProtection="1"/>
    <xf numFmtId="165" fontId="1" fillId="0" borderId="30" xfId="1" applyNumberFormat="1" applyFont="1" applyBorder="1" applyProtection="1"/>
    <xf numFmtId="165" fontId="3" fillId="0" borderId="30" xfId="1" applyNumberFormat="1" applyFont="1" applyBorder="1" applyProtection="1"/>
    <xf numFmtId="0" fontId="1" fillId="0" borderId="30" xfId="0" applyFont="1" applyBorder="1" applyProtection="1"/>
    <xf numFmtId="0" fontId="0" fillId="0" borderId="30" xfId="0" applyBorder="1" applyProtection="1"/>
    <xf numFmtId="0" fontId="18" fillId="7" borderId="30" xfId="0" applyFont="1" applyFill="1" applyBorder="1" applyProtection="1"/>
    <xf numFmtId="0" fontId="4" fillId="8" borderId="0" xfId="0" applyFont="1" applyFill="1" applyProtection="1"/>
    <xf numFmtId="0" fontId="18" fillId="0" borderId="0" xfId="0" applyFont="1" applyProtection="1"/>
    <xf numFmtId="165" fontId="18" fillId="0" borderId="0" xfId="1" applyNumberFormat="1" applyFont="1" applyProtection="1"/>
    <xf numFmtId="166" fontId="0" fillId="0" borderId="0" xfId="0" applyNumberFormat="1" applyProtection="1"/>
    <xf numFmtId="166" fontId="0" fillId="0" borderId="1" xfId="0" applyNumberFormat="1" applyBorder="1" applyProtection="1"/>
    <xf numFmtId="44" fontId="0" fillId="0" borderId="0" xfId="1" applyFont="1" applyProtection="1"/>
    <xf numFmtId="44" fontId="1" fillId="0" borderId="0" xfId="1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49" fontId="1" fillId="0" borderId="0" xfId="0" applyNumberFormat="1" applyFont="1" applyAlignment="1" applyProtection="1">
      <alignment horizontal="center"/>
    </xf>
    <xf numFmtId="49" fontId="3" fillId="2" borderId="3" xfId="2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/>
    <xf numFmtId="49" fontId="1" fillId="0" borderId="0" xfId="0" applyNumberFormat="1" applyFont="1" applyProtection="1">
      <protection locked="0"/>
    </xf>
    <xf numFmtId="0" fontId="1" fillId="0" borderId="0" xfId="0" applyNumberFormat="1" applyFont="1" applyProtection="1"/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center" wrapText="1"/>
    </xf>
    <xf numFmtId="164" fontId="12" fillId="10" borderId="22" xfId="2" applyNumberFormat="1" applyFont="1" applyFill="1" applyBorder="1" applyAlignment="1" applyProtection="1">
      <alignment horizontal="right" vertical="center"/>
    </xf>
    <xf numFmtId="0" fontId="0" fillId="11" borderId="34" xfId="0" applyFill="1" applyBorder="1" applyProtection="1">
      <protection locked="0"/>
    </xf>
    <xf numFmtId="0" fontId="0" fillId="11" borderId="35" xfId="0" applyFill="1" applyBorder="1" applyProtection="1">
      <protection locked="0"/>
    </xf>
    <xf numFmtId="164" fontId="8" fillId="11" borderId="12" xfId="2" applyFont="1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39" fontId="8" fillId="11" borderId="12" xfId="2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vertical="center"/>
      <protection locked="0"/>
    </xf>
    <xf numFmtId="164" fontId="8" fillId="11" borderId="12" xfId="2" applyFont="1" applyFill="1" applyBorder="1" applyAlignment="1" applyProtection="1">
      <alignment vertical="center"/>
      <protection locked="0"/>
    </xf>
    <xf numFmtId="164" fontId="8" fillId="11" borderId="10" xfId="2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9" borderId="41" xfId="0" applyFont="1" applyFill="1" applyBorder="1" applyAlignment="1" applyProtection="1">
      <alignment horizontal="center" wrapText="1"/>
      <protection locked="0"/>
    </xf>
    <xf numFmtId="44" fontId="0" fillId="9" borderId="3" xfId="1" applyFont="1" applyFill="1" applyBorder="1" applyProtection="1">
      <protection locked="0"/>
    </xf>
    <xf numFmtId="164" fontId="4" fillId="5" borderId="0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4" fontId="3" fillId="2" borderId="3" xfId="2" applyNumberFormat="1" applyFont="1" applyFill="1" applyBorder="1" applyAlignment="1" applyProtection="1">
      <alignment horizontal="center"/>
    </xf>
    <xf numFmtId="44" fontId="1" fillId="10" borderId="3" xfId="1" applyFont="1" applyFill="1" applyBorder="1" applyAlignment="1" applyProtection="1">
      <alignment horizontal="center" wrapText="1"/>
    </xf>
    <xf numFmtId="0" fontId="1" fillId="9" borderId="42" xfId="0" applyFont="1" applyFill="1" applyBorder="1" applyAlignment="1" applyProtection="1">
      <alignment horizontal="center" wrapText="1"/>
      <protection locked="0"/>
    </xf>
    <xf numFmtId="0" fontId="0" fillId="9" borderId="2" xfId="0" applyFill="1" applyBorder="1" applyProtection="1">
      <protection locked="0"/>
    </xf>
    <xf numFmtId="39" fontId="15" fillId="11" borderId="43" xfId="2" applyNumberFormat="1" applyFont="1" applyFill="1" applyBorder="1" applyAlignment="1" applyProtection="1">
      <alignment horizontal="left" vertical="center"/>
      <protection locked="0"/>
    </xf>
    <xf numFmtId="39" fontId="14" fillId="11" borderId="44" xfId="2" applyNumberFormat="1" applyFont="1" applyFill="1" applyBorder="1" applyAlignment="1" applyProtection="1">
      <alignment horizontal="center" vertical="center"/>
      <protection locked="0"/>
    </xf>
    <xf numFmtId="39" fontId="14" fillId="11" borderId="45" xfId="2" applyNumberFormat="1" applyFont="1" applyFill="1" applyBorder="1" applyAlignment="1" applyProtection="1">
      <alignment horizontal="center" vertical="center"/>
      <protection locked="0"/>
    </xf>
    <xf numFmtId="7" fontId="11" fillId="0" borderId="3" xfId="2" applyNumberFormat="1" applyFont="1" applyBorder="1" applyAlignment="1" applyProtection="1">
      <alignment vertical="center"/>
      <protection locked="0"/>
    </xf>
    <xf numFmtId="44" fontId="1" fillId="0" borderId="30" xfId="1" applyFont="1" applyBorder="1" applyProtection="1"/>
    <xf numFmtId="44" fontId="1" fillId="0" borderId="38" xfId="1" applyFont="1" applyBorder="1" applyProtection="1"/>
    <xf numFmtId="0" fontId="18" fillId="0" borderId="1" xfId="0" applyFont="1" applyBorder="1" applyProtection="1"/>
    <xf numFmtId="44" fontId="1" fillId="0" borderId="1" xfId="1" applyFont="1" applyBorder="1" applyProtection="1"/>
    <xf numFmtId="44" fontId="18" fillId="0" borderId="0" xfId="1" applyFont="1" applyFill="1" applyProtection="1"/>
    <xf numFmtId="0" fontId="21" fillId="0" borderId="0" xfId="0" applyFont="1" applyBorder="1" applyProtection="1"/>
    <xf numFmtId="42" fontId="3" fillId="2" borderId="3" xfId="1" applyNumberFormat="1" applyFont="1" applyFill="1" applyBorder="1" applyAlignment="1" applyProtection="1">
      <alignment horizontal="center"/>
    </xf>
    <xf numFmtId="166" fontId="1" fillId="9" borderId="3" xfId="2" applyNumberFormat="1" applyFont="1" applyFill="1" applyBorder="1" applyAlignment="1" applyProtection="1">
      <alignment horizontal="center" wrapText="1"/>
      <protection locked="0"/>
    </xf>
    <xf numFmtId="166" fontId="1" fillId="9" borderId="3" xfId="1" applyNumberFormat="1" applyFont="1" applyFill="1" applyBorder="1" applyAlignment="1" applyProtection="1">
      <alignment horizontal="center" wrapText="1"/>
      <protection locked="0"/>
    </xf>
    <xf numFmtId="49" fontId="1" fillId="9" borderId="3" xfId="2" applyNumberFormat="1" applyFont="1" applyFill="1" applyBorder="1" applyAlignment="1" applyProtection="1">
      <alignment horizontal="center" wrapText="1"/>
      <protection locked="0"/>
    </xf>
    <xf numFmtId="0" fontId="1" fillId="1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wrapText="1"/>
    </xf>
    <xf numFmtId="44" fontId="1" fillId="10" borderId="3" xfId="1" applyNumberFormat="1" applyFont="1" applyFill="1" applyBorder="1" applyAlignment="1" applyProtection="1">
      <alignment horizontal="center" wrapText="1"/>
    </xf>
    <xf numFmtId="44" fontId="3" fillId="2" borderId="3" xfId="2" applyNumberFormat="1" applyFont="1" applyFill="1" applyBorder="1" applyAlignment="1" applyProtection="1">
      <alignment horizontal="center"/>
    </xf>
    <xf numFmtId="44" fontId="1" fillId="9" borderId="3" xfId="2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</xf>
    <xf numFmtId="164" fontId="24" fillId="11" borderId="29" xfId="2" applyFont="1" applyFill="1" applyBorder="1" applyProtection="1">
      <protection locked="0"/>
    </xf>
    <xf numFmtId="39" fontId="25" fillId="0" borderId="0" xfId="2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center" wrapText="1"/>
    </xf>
    <xf numFmtId="0" fontId="21" fillId="0" borderId="0" xfId="0" applyFont="1" applyProtection="1"/>
    <xf numFmtId="0" fontId="21" fillId="0" borderId="0" xfId="0" applyFont="1"/>
    <xf numFmtId="44" fontId="1" fillId="9" borderId="3" xfId="1" applyFont="1" applyFill="1" applyBorder="1" applyAlignment="1" applyProtection="1">
      <alignment horizontal="center" wrapText="1"/>
    </xf>
    <xf numFmtId="0" fontId="1" fillId="13" borderId="2" xfId="0" applyFont="1" applyFill="1" applyBorder="1" applyAlignment="1" applyProtection="1">
      <alignment horizontal="center" vertical="center" wrapText="1"/>
      <protection locked="0"/>
    </xf>
    <xf numFmtId="0" fontId="7" fillId="13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5" fillId="9" borderId="0" xfId="0" applyFont="1" applyFill="1" applyBorder="1" applyAlignment="1" applyProtection="1"/>
    <xf numFmtId="0" fontId="5" fillId="9" borderId="0" xfId="0" applyFont="1" applyFill="1" applyBorder="1" applyAlignment="1" applyProtection="1">
      <alignment vertical="center"/>
    </xf>
    <xf numFmtId="0" fontId="8" fillId="0" borderId="22" xfId="2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164" fontId="14" fillId="0" borderId="0" xfId="2" applyFont="1" applyAlignment="1" applyProtection="1">
      <alignment horizontal="left"/>
    </xf>
    <xf numFmtId="164" fontId="14" fillId="0" borderId="0" xfId="2" applyNumberFormat="1" applyFont="1" applyAlignment="1" applyProtection="1"/>
    <xf numFmtId="49" fontId="0" fillId="10" borderId="0" xfId="0" applyNumberFormat="1" applyFill="1"/>
    <xf numFmtId="49" fontId="0" fillId="10" borderId="0" xfId="0" applyNumberFormat="1" applyFill="1" applyProtection="1"/>
    <xf numFmtId="0" fontId="0" fillId="10" borderId="0" xfId="0" applyFill="1" applyProtection="1"/>
    <xf numFmtId="49" fontId="1" fillId="12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2" applyFont="1" applyFill="1" applyBorder="1" applyAlignment="1" applyProtection="1">
      <alignment horizontal="center"/>
    </xf>
    <xf numFmtId="167" fontId="1" fillId="0" borderId="22" xfId="2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7" fontId="0" fillId="0" borderId="0" xfId="0" applyNumberFormat="1" applyProtection="1"/>
    <xf numFmtId="14" fontId="17" fillId="9" borderId="0" xfId="2" applyNumberFormat="1" applyFont="1" applyFill="1" applyAlignment="1" applyProtection="1">
      <alignment horizontal="right"/>
      <protection locked="0"/>
    </xf>
    <xf numFmtId="0" fontId="1" fillId="9" borderId="2" xfId="0" applyFont="1" applyFill="1" applyBorder="1" applyProtection="1">
      <protection locked="0"/>
    </xf>
    <xf numFmtId="0" fontId="3" fillId="12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44" fontId="1" fillId="0" borderId="0" xfId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49" fontId="1" fillId="0" borderId="0" xfId="0" applyNumberFormat="1" applyFont="1" applyFill="1" applyAlignment="1" applyProtection="1">
      <alignment horizontal="center"/>
    </xf>
    <xf numFmtId="44" fontId="1" fillId="12" borderId="3" xfId="1" applyFont="1" applyFill="1" applyBorder="1" applyAlignment="1" applyProtection="1">
      <alignment horizontal="center"/>
    </xf>
    <xf numFmtId="44" fontId="1" fillId="9" borderId="3" xfId="2" applyNumberFormat="1" applyFont="1" applyFill="1" applyBorder="1" applyAlignment="1" applyProtection="1">
      <alignment horizontal="center" wrapText="1"/>
    </xf>
    <xf numFmtId="0" fontId="1" fillId="13" borderId="2" xfId="0" applyNumberFormat="1" applyFont="1" applyFill="1" applyBorder="1" applyAlignment="1" applyProtection="1">
      <alignment horizontal="center" vertical="center" wrapText="1"/>
    </xf>
    <xf numFmtId="0" fontId="1" fillId="10" borderId="0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49" fontId="4" fillId="2" borderId="4" xfId="1" applyNumberFormat="1" applyFont="1" applyFill="1" applyBorder="1" applyAlignment="1" applyProtection="1">
      <alignment horizont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9" fontId="4" fillId="2" borderId="3" xfId="2" applyNumberFormat="1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  <protection locked="0"/>
    </xf>
    <xf numFmtId="49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23" xfId="0" applyFont="1" applyBorder="1" applyProtection="1"/>
    <xf numFmtId="0" fontId="4" fillId="0" borderId="25" xfId="0" applyFont="1" applyBorder="1" applyProtection="1"/>
    <xf numFmtId="0" fontId="4" fillId="0" borderId="0" xfId="0" applyFont="1" applyBorder="1" applyProtection="1"/>
    <xf numFmtId="0" fontId="4" fillId="0" borderId="0" xfId="0" applyFont="1"/>
    <xf numFmtId="0" fontId="1" fillId="0" borderId="0" xfId="0" applyFont="1"/>
    <xf numFmtId="0" fontId="1" fillId="0" borderId="3" xfId="0" applyFont="1" applyBorder="1" applyAlignment="1">
      <alignment wrapText="1"/>
    </xf>
    <xf numFmtId="14" fontId="1" fillId="0" borderId="3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14" fontId="0" fillId="0" borderId="2" xfId="0" applyNumberFormat="1" applyBorder="1"/>
    <xf numFmtId="14" fontId="0" fillId="0" borderId="3" xfId="0" applyNumberFormat="1" applyBorder="1"/>
    <xf numFmtId="14" fontId="1" fillId="0" borderId="3" xfId="0" applyNumberFormat="1" applyFont="1" applyBorder="1"/>
    <xf numFmtId="14" fontId="0" fillId="15" borderId="3" xfId="0" applyNumberFormat="1" applyFill="1" applyBorder="1"/>
    <xf numFmtId="0" fontId="0" fillId="15" borderId="3" xfId="0" applyFill="1" applyBorder="1"/>
    <xf numFmtId="168" fontId="0" fillId="0" borderId="0" xfId="0" applyNumberFormat="1"/>
    <xf numFmtId="14" fontId="0" fillId="16" borderId="3" xfId="0" applyNumberFormat="1" applyFill="1" applyBorder="1"/>
    <xf numFmtId="0" fontId="1" fillId="16" borderId="3" xfId="0" applyFont="1" applyFill="1" applyBorder="1" applyAlignment="1">
      <alignment wrapText="1"/>
    </xf>
    <xf numFmtId="0" fontId="1" fillId="0" borderId="0" xfId="0" applyFont="1" applyFill="1"/>
    <xf numFmtId="14" fontId="1" fillId="12" borderId="2" xfId="0" applyNumberFormat="1" applyFont="1" applyFill="1" applyBorder="1" applyAlignment="1">
      <alignment wrapText="1"/>
    </xf>
    <xf numFmtId="0" fontId="1" fillId="12" borderId="2" xfId="0" applyFont="1" applyFill="1" applyBorder="1" applyAlignment="1">
      <alignment wrapText="1"/>
    </xf>
    <xf numFmtId="0" fontId="0" fillId="0" borderId="0" xfId="0" applyFill="1"/>
    <xf numFmtId="14" fontId="4" fillId="14" borderId="2" xfId="0" applyNumberFormat="1" applyFont="1" applyFill="1" applyBorder="1" applyAlignment="1">
      <alignment wrapText="1"/>
    </xf>
    <xf numFmtId="0" fontId="4" fillId="14" borderId="2" xfId="0" applyFont="1" applyFill="1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1" fillId="0" borderId="3" xfId="0" applyFont="1" applyBorder="1"/>
    <xf numFmtId="14" fontId="4" fillId="14" borderId="22" xfId="0" applyNumberFormat="1" applyFont="1" applyFill="1" applyBorder="1" applyAlignment="1">
      <alignment wrapText="1"/>
    </xf>
    <xf numFmtId="0" fontId="7" fillId="0" borderId="3" xfId="0" applyFont="1" applyBorder="1"/>
    <xf numFmtId="14" fontId="1" fillId="0" borderId="37" xfId="0" applyNumberFormat="1" applyFont="1" applyBorder="1" applyAlignment="1">
      <alignment wrapText="1"/>
    </xf>
    <xf numFmtId="14" fontId="1" fillId="12" borderId="22" xfId="0" applyNumberFormat="1" applyFont="1" applyFill="1" applyBorder="1" applyAlignment="1">
      <alignment wrapText="1"/>
    </xf>
    <xf numFmtId="14" fontId="0" fillId="0" borderId="22" xfId="0" applyNumberFormat="1" applyBorder="1"/>
    <xf numFmtId="14" fontId="0" fillId="0" borderId="37" xfId="0" applyNumberFormat="1" applyBorder="1"/>
    <xf numFmtId="14" fontId="1" fillId="0" borderId="37" xfId="0" applyNumberFormat="1" applyFont="1" applyBorder="1"/>
    <xf numFmtId="14" fontId="0" fillId="16" borderId="37" xfId="0" applyNumberFormat="1" applyFill="1" applyBorder="1"/>
    <xf numFmtId="0" fontId="29" fillId="0" borderId="3" xfId="0" applyFont="1" applyBorder="1"/>
    <xf numFmtId="0" fontId="0" fillId="0" borderId="37" xfId="0" applyBorder="1"/>
    <xf numFmtId="14" fontId="1" fillId="11" borderId="0" xfId="0" applyNumberFormat="1" applyFont="1" applyFill="1"/>
    <xf numFmtId="1" fontId="1" fillId="0" borderId="3" xfId="0" applyNumberFormat="1" applyFont="1" applyBorder="1"/>
    <xf numFmtId="0" fontId="1" fillId="0" borderId="0" xfId="0" applyFont="1" applyBorder="1" applyAlignment="1" applyProtection="1">
      <alignment horizontal="center"/>
    </xf>
    <xf numFmtId="0" fontId="1" fillId="12" borderId="0" xfId="0" applyFont="1" applyFill="1" applyBorder="1" applyAlignment="1" applyProtection="1">
      <alignment horizontal="left" vertical="center"/>
    </xf>
    <xf numFmtId="0" fontId="1" fillId="13" borderId="0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 wrapText="1"/>
    </xf>
    <xf numFmtId="39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/>
    <xf numFmtId="39" fontId="1" fillId="9" borderId="3" xfId="1" applyNumberFormat="1" applyFont="1" applyFill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14" xfId="0" applyFont="1" applyBorder="1" applyProtection="1"/>
    <xf numFmtId="0" fontId="4" fillId="0" borderId="26" xfId="0" applyFont="1" applyBorder="1" applyProtection="1"/>
    <xf numFmtId="0" fontId="14" fillId="0" borderId="12" xfId="0" applyFont="1" applyBorder="1" applyProtection="1"/>
    <xf numFmtId="0" fontId="30" fillId="10" borderId="3" xfId="0" applyFont="1" applyFill="1" applyBorder="1" applyAlignment="1" applyProtection="1">
      <alignment horizontal="center"/>
    </xf>
    <xf numFmtId="164" fontId="8" fillId="3" borderId="48" xfId="2" applyNumberFormat="1" applyFont="1" applyFill="1" applyBorder="1" applyAlignment="1" applyProtection="1">
      <alignment horizontal="right" vertical="center"/>
    </xf>
    <xf numFmtId="164" fontId="14" fillId="0" borderId="3" xfId="2" applyNumberFormat="1" applyFont="1" applyBorder="1" applyAlignment="1" applyProtection="1">
      <alignment horizontal="center" vertical="center"/>
    </xf>
    <xf numFmtId="164" fontId="17" fillId="10" borderId="3" xfId="2" applyNumberFormat="1" applyFont="1" applyFill="1" applyBorder="1" applyAlignment="1" applyProtection="1">
      <alignment horizontal="center" vertical="center"/>
    </xf>
    <xf numFmtId="39" fontId="14" fillId="0" borderId="3" xfId="2" applyNumberFormat="1" applyFont="1" applyBorder="1" applyAlignment="1" applyProtection="1">
      <alignment horizontal="center" vertical="center"/>
    </xf>
    <xf numFmtId="164" fontId="14" fillId="0" borderId="3" xfId="2" applyNumberFormat="1" applyFont="1" applyBorder="1" applyAlignment="1" applyProtection="1">
      <alignment horizontal="left" vertical="center"/>
    </xf>
    <xf numFmtId="2" fontId="14" fillId="0" borderId="3" xfId="0" applyNumberFormat="1" applyFont="1" applyBorder="1" applyAlignment="1" applyProtection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0" fillId="0" borderId="15" xfId="0" applyFill="1" applyBorder="1"/>
    <xf numFmtId="0" fontId="1" fillId="0" borderId="15" xfId="0" applyFont="1" applyFill="1" applyBorder="1"/>
    <xf numFmtId="14" fontId="0" fillId="0" borderId="15" xfId="0" applyNumberFormat="1" applyFill="1" applyBorder="1"/>
    <xf numFmtId="0" fontId="0" fillId="0" borderId="15" xfId="0" applyFill="1" applyBorder="1" applyAlignment="1">
      <alignment horizontal="right"/>
    </xf>
    <xf numFmtId="8" fontId="1" fillId="0" borderId="15" xfId="0" applyNumberFormat="1" applyFont="1" applyFill="1" applyBorder="1"/>
    <xf numFmtId="8" fontId="0" fillId="0" borderId="15" xfId="0" applyNumberFormat="1" applyFill="1" applyBorder="1"/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14" fontId="1" fillId="0" borderId="37" xfId="0" applyNumberFormat="1" applyFont="1" applyFill="1" applyBorder="1"/>
    <xf numFmtId="164" fontId="17" fillId="9" borderId="0" xfId="2" applyNumberFormat="1" applyFont="1" applyFill="1" applyAlignment="1" applyProtection="1">
      <alignment horizontal="right"/>
      <protection locked="0"/>
    </xf>
    <xf numFmtId="0" fontId="4" fillId="14" borderId="3" xfId="0" applyFont="1" applyFill="1" applyBorder="1" applyAlignment="1">
      <alignment wrapText="1"/>
    </xf>
    <xf numFmtId="0" fontId="1" fillId="1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49" fontId="4" fillId="2" borderId="3" xfId="2" applyNumberFormat="1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" fillId="13" borderId="0" xfId="0" applyFont="1" applyFill="1" applyBorder="1" applyAlignment="1" applyProtection="1">
      <alignment horizontal="left"/>
    </xf>
    <xf numFmtId="8" fontId="0" fillId="9" borderId="2" xfId="1" applyNumberFormat="1" applyFont="1" applyFill="1" applyBorder="1" applyProtection="1">
      <protection locked="0"/>
    </xf>
    <xf numFmtId="7" fontId="0" fillId="9" borderId="3" xfId="1" applyNumberFormat="1" applyFont="1" applyFill="1" applyBorder="1" applyProtection="1">
      <protection locked="0"/>
    </xf>
    <xf numFmtId="8" fontId="0" fillId="9" borderId="3" xfId="1" applyNumberFormat="1" applyFont="1" applyFill="1" applyBorder="1" applyProtection="1"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4" fillId="2" borderId="49" xfId="0" applyFont="1" applyFill="1" applyBorder="1" applyAlignment="1" applyProtection="1">
      <alignment horizontal="center" vertical="center" wrapText="1"/>
    </xf>
    <xf numFmtId="0" fontId="32" fillId="12" borderId="3" xfId="0" applyFont="1" applyFill="1" applyBorder="1" applyAlignment="1">
      <alignment vertical="center"/>
    </xf>
    <xf numFmtId="0" fontId="5" fillId="10" borderId="0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 wrapText="1"/>
    </xf>
    <xf numFmtId="0" fontId="1" fillId="10" borderId="0" xfId="0" applyFont="1" applyFill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9" fontId="6" fillId="0" borderId="46" xfId="0" applyNumberFormat="1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22" xfId="0" applyNumberFormat="1" applyFont="1" applyFill="1" applyBorder="1" applyAlignment="1" applyProtection="1">
      <alignment horizontal="center" vertical="center" wrapText="1"/>
    </xf>
    <xf numFmtId="49" fontId="6" fillId="0" borderId="30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1" fillId="9" borderId="30" xfId="0" applyFont="1" applyFill="1" applyBorder="1" applyAlignment="1" applyProtection="1">
      <alignment horizontal="left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4" xfId="1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6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0" fillId="0" borderId="47" xfId="0" applyBorder="1" applyAlignment="1">
      <alignment horizontal="center"/>
    </xf>
    <xf numFmtId="49" fontId="4" fillId="2" borderId="3" xfId="1" applyNumberFormat="1" applyFont="1" applyFill="1" applyBorder="1" applyAlignment="1" applyProtection="1">
      <alignment horizontal="center" wrapText="1"/>
    </xf>
    <xf numFmtId="49" fontId="4" fillId="12" borderId="3" xfId="1" applyNumberFormat="1" applyFont="1" applyFill="1" applyBorder="1" applyAlignment="1" applyProtection="1">
      <alignment horizontal="center" wrapText="1"/>
    </xf>
    <xf numFmtId="0" fontId="1" fillId="0" borderId="22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9" fontId="4" fillId="0" borderId="3" xfId="1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/>
    </xf>
    <xf numFmtId="49" fontId="4" fillId="2" borderId="2" xfId="2" applyNumberFormat="1" applyFont="1" applyFill="1" applyBorder="1" applyAlignment="1" applyProtection="1">
      <alignment horizont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4" xfId="2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0" fontId="1" fillId="10" borderId="0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1" fillId="9" borderId="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1" fillId="13" borderId="0" xfId="0" applyFont="1" applyFill="1" applyBorder="1" applyAlignment="1" applyProtection="1">
      <alignment horizontal="left"/>
    </xf>
    <xf numFmtId="0" fontId="1" fillId="12" borderId="0" xfId="0" applyFont="1" applyFill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1" xfId="0" applyBorder="1" applyAlignment="1"/>
    <xf numFmtId="0" fontId="4" fillId="17" borderId="1" xfId="0" applyFont="1" applyFill="1" applyBorder="1" applyAlignment="1" applyProtection="1">
      <alignment horizontal="center" vertical="center"/>
    </xf>
    <xf numFmtId="0" fontId="4" fillId="17" borderId="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9" formatCode="m/d/yyyy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outline="0">
        <right style="medium">
          <color indexed="64"/>
        </right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ngel, Abigail E - DOT" id="{85DC0582-3065-4E1F-9BDB-109A35D5F93D}" userId="S::Abigail.Ringel@dot.wi.gov::ac0109ca-4a08-40f5-be98-847aaeb551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B0EEF-7E01-44D5-BF4F-5535F19C4EE6}" name="Table1" displayName="Table1" ref="A1:N34" totalsRowShown="0" headerRowDxfId="16" dataDxfId="15" tableBorderDxfId="14">
  <autoFilter ref="A1:N34" xr:uid="{0DA23AB5-17A3-44B1-9B6A-959FAA141429}"/>
  <tableColumns count="14">
    <tableColumn id="1" xr3:uid="{78ECFF31-66F8-444F-9BE4-FF17E9896687}" name="Address/Location" dataDxfId="13"/>
    <tableColumn id="2" xr3:uid="{5FAAD301-3D73-4C31-B139-8390936FBEFD}" name="Conveyance # / MLS #" dataDxfId="12"/>
    <tableColumn id="3" xr3:uid="{EB95A128-E62F-45F3-A7E6-03F0678973A8}" name="Town/Village" dataDxfId="11"/>
    <tableColumn id="4" xr3:uid="{40D698BC-D179-4B4B-AF24-5BB1A8AE9566}" name="Zoning" dataDxfId="10"/>
    <tableColumn id="5" xr3:uid="{3FAA9487-0347-4A28-B589-24B338CCBE5F}" name="Property Type" dataDxfId="9"/>
    <tableColumn id="6" xr3:uid="{6347B06E-4E9E-4B99-A4BA-6F2FBCAAAEBB}" name="Sale Date" dataDxfId="8"/>
    <tableColumn id="7" xr3:uid="{AD294FA8-22D9-4C2B-9BC7-821B2205FC27}" name="Tax ID" dataDxfId="7"/>
    <tableColumn id="8" xr3:uid="{0F06C667-2BB3-46F6-A6FE-467B22AD128F}" name="Acres" dataDxfId="6"/>
    <tableColumn id="9" xr3:uid="{7A139EB0-A054-42DD-9BC5-DCA67FD40BE7}" name="Sq ft" dataDxfId="5"/>
    <tableColumn id="10" xr3:uid="{1478F8CB-4AE9-418F-9E17-6C0822B61034}" name="Price" dataDxfId="4"/>
    <tableColumn id="11" xr3:uid="{4615E6D1-2325-4BCA-B0B6-36731A3C788B}" name="Price/acre" dataDxfId="3">
      <calculatedColumnFormula>Table1[[#This Row],[Price]]/Table1[[#This Row],[Acres]]</calculatedColumnFormula>
    </tableColumn>
    <tableColumn id="12" xr3:uid="{58C2132A-73BA-42DA-AF38-0F6B328BE22C}" name="Price/Sq Ft" dataDxfId="2">
      <calculatedColumnFormula>Table1[[#This Row],[Price]]/Table1[[#This Row],[Sq ft]]</calculatedColumnFormula>
    </tableColumn>
    <tableColumn id="14" xr3:uid="{452BFC13-94C8-4ECF-8238-68A938465284}" name="Property Characteristics" dataDxfId="1"/>
    <tableColumn id="13" xr3:uid="{4D631420-46A2-4DC4-B56F-7162ADBE5013}" name="Comments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4-18T15:41:22.71" personId="{85DC0582-3065-4E1F-9BDB-109A35D5F93D}" id="{F5D2E255-FDCC-45E4-834F-A7CA03DF3DC8}">
    <text>(factors include: complex parcels, relocations, appraisals, 15+ parcels)</text>
  </threadedComment>
  <threadedComment ref="E1" dT="2022-04-27T13:58:50.93" personId="{85DC0582-3065-4E1F-9BDB-109A35D5F93D}" id="{DEF475A3-BBFE-478D-9130-46D5805B9355}">
    <text>compared to Preferred Schedule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CA97-233F-4326-983A-EB69F8770321}">
  <dimension ref="A1:H44"/>
  <sheetViews>
    <sheetView zoomScale="90" zoomScaleNormal="90" workbookViewId="0">
      <pane ySplit="1" topLeftCell="A2" activePane="bottomLeft" state="frozen"/>
      <selection pane="bottomLeft" activeCell="C38" sqref="C38"/>
    </sheetView>
  </sheetViews>
  <sheetFormatPr defaultRowHeight="12.75"/>
  <cols>
    <col min="1" max="1" width="28.85546875" customWidth="1"/>
    <col min="2" max="2" width="12.42578125" customWidth="1"/>
    <col min="3" max="3" width="20.5703125" customWidth="1"/>
    <col min="4" max="4" width="12.42578125" customWidth="1"/>
    <col min="5" max="5" width="15.85546875" customWidth="1"/>
    <col min="6" max="6" width="27" customWidth="1"/>
  </cols>
  <sheetData>
    <row r="1" spans="1:8">
      <c r="A1" s="277" t="s">
        <v>193</v>
      </c>
      <c r="B1" s="277" t="s">
        <v>300</v>
      </c>
      <c r="D1" s="277" t="s">
        <v>194</v>
      </c>
      <c r="E1" s="298" t="s">
        <v>263</v>
      </c>
      <c r="F1" s="299" t="s">
        <v>41</v>
      </c>
    </row>
    <row r="2" spans="1:8" s="294" customFormat="1" ht="25.5">
      <c r="A2" s="345" t="s">
        <v>260</v>
      </c>
      <c r="B2" s="295">
        <f>EDATE(B39,-26)</f>
        <v>44835</v>
      </c>
      <c r="C2" s="296" t="s">
        <v>261</v>
      </c>
      <c r="D2" s="300"/>
      <c r="E2" s="298">
        <f t="shared" ref="E2:E22" si="0">IF(D2="",0,_xlfn.DAYS(D2,B2))</f>
        <v>0</v>
      </c>
      <c r="F2" s="301"/>
      <c r="H2" s="294" t="s">
        <v>319</v>
      </c>
    </row>
    <row r="3" spans="1:8" ht="25.5">
      <c r="A3" s="279" t="s">
        <v>195</v>
      </c>
      <c r="B3" s="280">
        <f>B2</f>
        <v>44835</v>
      </c>
      <c r="C3" s="279"/>
      <c r="D3" s="302"/>
      <c r="E3" s="298">
        <f t="shared" si="0"/>
        <v>0</v>
      </c>
      <c r="F3" s="299"/>
    </row>
    <row r="4" spans="1:8">
      <c r="A4" s="346" t="s">
        <v>262</v>
      </c>
      <c r="B4" s="292"/>
      <c r="C4" s="293"/>
      <c r="D4" s="303"/>
      <c r="E4" s="298">
        <f t="shared" si="0"/>
        <v>0</v>
      </c>
      <c r="F4" s="299"/>
    </row>
    <row r="5" spans="1:8" ht="25.5">
      <c r="A5" s="279" t="s">
        <v>258</v>
      </c>
      <c r="B5" s="283">
        <f>B6-30</f>
        <v>44842</v>
      </c>
      <c r="C5" s="282" t="s">
        <v>196</v>
      </c>
      <c r="D5" s="304"/>
      <c r="E5" s="298">
        <f t="shared" si="0"/>
        <v>0</v>
      </c>
      <c r="F5" s="297"/>
    </row>
    <row r="6" spans="1:8" ht="25.5">
      <c r="A6" s="279" t="s">
        <v>198</v>
      </c>
      <c r="B6" s="284">
        <f>B7-21</f>
        <v>44872</v>
      </c>
      <c r="C6" s="279" t="s">
        <v>257</v>
      </c>
      <c r="D6" s="305"/>
      <c r="E6" s="298">
        <f t="shared" si="0"/>
        <v>0</v>
      </c>
      <c r="F6" s="297"/>
    </row>
    <row r="7" spans="1:8" ht="25.5">
      <c r="A7" s="279" t="s">
        <v>199</v>
      </c>
      <c r="B7" s="284">
        <f>B8-21</f>
        <v>44893</v>
      </c>
      <c r="C7" s="279" t="s">
        <v>256</v>
      </c>
      <c r="D7" s="305"/>
      <c r="E7" s="298">
        <f t="shared" si="0"/>
        <v>0</v>
      </c>
      <c r="F7" s="297"/>
    </row>
    <row r="8" spans="1:8" s="278" customFormat="1" ht="25.5">
      <c r="A8" s="290" t="s">
        <v>200</v>
      </c>
      <c r="B8" s="285">
        <f>B11-56</f>
        <v>44914</v>
      </c>
      <c r="C8" s="279" t="s">
        <v>255</v>
      </c>
      <c r="D8" s="306"/>
      <c r="E8" s="298">
        <f t="shared" si="0"/>
        <v>0</v>
      </c>
      <c r="F8" s="299"/>
      <c r="G8" s="291"/>
    </row>
    <row r="9" spans="1:8" s="278" customFormat="1" ht="25.5">
      <c r="A9" s="290" t="s">
        <v>314</v>
      </c>
      <c r="B9" s="285">
        <f>B10-7</f>
        <v>44956</v>
      </c>
      <c r="C9" s="342" t="s">
        <v>315</v>
      </c>
      <c r="D9" s="343"/>
      <c r="E9" s="298">
        <f t="shared" si="0"/>
        <v>0</v>
      </c>
      <c r="F9" s="299"/>
      <c r="G9" s="291"/>
    </row>
    <row r="10" spans="1:8" s="278" customFormat="1" ht="25.5">
      <c r="A10" s="290" t="s">
        <v>197</v>
      </c>
      <c r="B10" s="285">
        <f>B12-14</f>
        <v>44963</v>
      </c>
      <c r="C10" s="279" t="s">
        <v>249</v>
      </c>
      <c r="D10" s="306"/>
      <c r="E10" s="298">
        <f t="shared" si="0"/>
        <v>0</v>
      </c>
      <c r="F10" s="299"/>
      <c r="G10" s="291"/>
    </row>
    <row r="11" spans="1:8" ht="38.25">
      <c r="A11" s="279" t="s">
        <v>259</v>
      </c>
      <c r="B11" s="285">
        <f>B13-21</f>
        <v>44970</v>
      </c>
      <c r="C11" s="279" t="s">
        <v>201</v>
      </c>
      <c r="D11" s="306"/>
      <c r="E11" s="298">
        <f t="shared" si="0"/>
        <v>0</v>
      </c>
      <c r="F11" s="299"/>
      <c r="G11" s="278"/>
    </row>
    <row r="12" spans="1:8" ht="25.5">
      <c r="A12" s="347" t="s">
        <v>203</v>
      </c>
      <c r="B12" s="284">
        <f>B13-14</f>
        <v>44977</v>
      </c>
      <c r="C12" s="279" t="s">
        <v>202</v>
      </c>
      <c r="D12" s="305"/>
      <c r="E12" s="298">
        <f t="shared" si="0"/>
        <v>0</v>
      </c>
      <c r="F12" s="299"/>
    </row>
    <row r="13" spans="1:8" ht="25.5">
      <c r="A13" s="279" t="s">
        <v>204</v>
      </c>
      <c r="B13" s="284">
        <f>B14-42</f>
        <v>44991</v>
      </c>
      <c r="C13" s="279" t="s">
        <v>254</v>
      </c>
      <c r="D13" s="305"/>
      <c r="E13" s="298">
        <f t="shared" si="0"/>
        <v>0</v>
      </c>
      <c r="F13" s="299"/>
    </row>
    <row r="14" spans="1:8" ht="25.5">
      <c r="A14" s="279" t="s">
        <v>205</v>
      </c>
      <c r="B14" s="285">
        <f>B17-40</f>
        <v>45033</v>
      </c>
      <c r="C14" s="279" t="s">
        <v>206</v>
      </c>
      <c r="D14" s="306"/>
      <c r="E14" s="298">
        <f t="shared" si="0"/>
        <v>0</v>
      </c>
      <c r="F14" s="299"/>
      <c r="G14" s="278"/>
    </row>
    <row r="15" spans="1:8" ht="25.5">
      <c r="A15" s="279" t="s">
        <v>217</v>
      </c>
      <c r="B15" s="285">
        <f>B12+90</f>
        <v>45067</v>
      </c>
      <c r="C15" s="279" t="s">
        <v>218</v>
      </c>
      <c r="D15" s="306"/>
      <c r="E15" s="298">
        <f t="shared" si="0"/>
        <v>0</v>
      </c>
      <c r="F15" s="299"/>
      <c r="G15" s="278"/>
    </row>
    <row r="16" spans="1:8" ht="25.5">
      <c r="A16" s="279" t="s">
        <v>209</v>
      </c>
      <c r="B16" s="284">
        <f>B18-21</f>
        <v>45066</v>
      </c>
      <c r="C16" s="279" t="s">
        <v>210</v>
      </c>
      <c r="D16" s="305"/>
      <c r="E16" s="298">
        <f t="shared" si="0"/>
        <v>0</v>
      </c>
      <c r="F16" s="297"/>
    </row>
    <row r="17" spans="1:6" ht="25.5">
      <c r="A17" s="347" t="s">
        <v>207</v>
      </c>
      <c r="B17" s="284">
        <f>B18-14</f>
        <v>45073</v>
      </c>
      <c r="C17" s="279" t="s">
        <v>208</v>
      </c>
      <c r="D17" s="305"/>
      <c r="E17" s="298">
        <f t="shared" si="0"/>
        <v>0</v>
      </c>
      <c r="F17" s="297"/>
    </row>
    <row r="18" spans="1:6" ht="25.5">
      <c r="A18" s="347" t="s">
        <v>211</v>
      </c>
      <c r="B18" s="284">
        <f>B19-21</f>
        <v>45087</v>
      </c>
      <c r="C18" s="279" t="s">
        <v>212</v>
      </c>
      <c r="D18" s="305"/>
      <c r="E18" s="298">
        <f t="shared" si="0"/>
        <v>0</v>
      </c>
      <c r="F18" s="297"/>
    </row>
    <row r="19" spans="1:6" ht="25.5">
      <c r="A19" s="347" t="s">
        <v>213</v>
      </c>
      <c r="B19" s="284">
        <f>B20-21</f>
        <v>45108</v>
      </c>
      <c r="C19" s="279" t="s">
        <v>214</v>
      </c>
      <c r="D19" s="305"/>
      <c r="E19" s="298">
        <f t="shared" si="0"/>
        <v>0</v>
      </c>
      <c r="F19" s="297"/>
    </row>
    <row r="20" spans="1:6">
      <c r="A20" s="347" t="s">
        <v>215</v>
      </c>
      <c r="B20" s="284">
        <f>B21-30</f>
        <v>45129</v>
      </c>
      <c r="C20" s="279" t="s">
        <v>216</v>
      </c>
      <c r="D20" s="305"/>
      <c r="E20" s="298">
        <f t="shared" si="0"/>
        <v>0</v>
      </c>
      <c r="F20" s="297"/>
    </row>
    <row r="21" spans="1:6" ht="25.5">
      <c r="A21" s="279" t="s">
        <v>219</v>
      </c>
      <c r="B21" s="284">
        <f>B22-45</f>
        <v>45159</v>
      </c>
      <c r="C21" s="279" t="s">
        <v>220</v>
      </c>
      <c r="D21" s="305"/>
      <c r="E21" s="298">
        <f t="shared" si="0"/>
        <v>0</v>
      </c>
      <c r="F21" s="297"/>
    </row>
    <row r="22" spans="1:6" ht="25.5">
      <c r="A22" s="347" t="s">
        <v>330</v>
      </c>
      <c r="B22" s="284">
        <f>B24-60</f>
        <v>45204</v>
      </c>
      <c r="C22" s="279" t="s">
        <v>221</v>
      </c>
      <c r="D22" s="305"/>
      <c r="E22" s="298">
        <f t="shared" si="0"/>
        <v>0</v>
      </c>
      <c r="F22" s="297"/>
    </row>
    <row r="23" spans="1:6">
      <c r="A23" s="347" t="s">
        <v>298</v>
      </c>
      <c r="B23" s="284"/>
      <c r="C23" s="279"/>
      <c r="D23" s="305"/>
      <c r="E23" s="298"/>
      <c r="F23" s="297" t="s">
        <v>299</v>
      </c>
    </row>
    <row r="24" spans="1:6" ht="25.5">
      <c r="A24" s="347" t="s">
        <v>331</v>
      </c>
      <c r="B24" s="284">
        <f>B25-14</f>
        <v>45264</v>
      </c>
      <c r="C24" s="279" t="s">
        <v>222</v>
      </c>
      <c r="D24" s="305"/>
      <c r="E24" s="298">
        <f t="shared" ref="E24:E37" si="1">IF(D24="",0,_xlfn.DAYS(D24,B24))</f>
        <v>0</v>
      </c>
      <c r="F24" s="297"/>
    </row>
    <row r="25" spans="1:6">
      <c r="A25" s="279" t="s">
        <v>332</v>
      </c>
      <c r="B25" s="284">
        <f>B28-90</f>
        <v>45278</v>
      </c>
      <c r="C25" s="279" t="s">
        <v>223</v>
      </c>
      <c r="D25" s="305"/>
      <c r="E25" s="298">
        <f t="shared" si="1"/>
        <v>0</v>
      </c>
      <c r="F25" s="297"/>
    </row>
    <row r="26" spans="1:6" ht="25.5">
      <c r="A26" s="279" t="s">
        <v>247</v>
      </c>
      <c r="B26" s="284">
        <f>B25+60</f>
        <v>45338</v>
      </c>
      <c r="C26" s="279" t="s">
        <v>248</v>
      </c>
      <c r="D26" s="305"/>
      <c r="E26" s="298">
        <f t="shared" si="1"/>
        <v>0</v>
      </c>
      <c r="F26" s="297"/>
    </row>
    <row r="27" spans="1:6">
      <c r="A27" s="279" t="s">
        <v>224</v>
      </c>
      <c r="B27" s="284">
        <f>B28-14</f>
        <v>45354</v>
      </c>
      <c r="C27" s="279" t="s">
        <v>225</v>
      </c>
      <c r="D27" s="305"/>
      <c r="E27" s="298">
        <f t="shared" si="1"/>
        <v>0</v>
      </c>
      <c r="F27" s="297"/>
    </row>
    <row r="28" spans="1:6" ht="25.5">
      <c r="A28" s="347" t="s">
        <v>226</v>
      </c>
      <c r="B28" s="284">
        <f>B36-45</f>
        <v>45368</v>
      </c>
      <c r="C28" s="279" t="s">
        <v>227</v>
      </c>
      <c r="D28" s="305"/>
      <c r="E28" s="298">
        <f t="shared" si="1"/>
        <v>0</v>
      </c>
      <c r="F28" s="297"/>
    </row>
    <row r="29" spans="1:6" ht="25.5">
      <c r="A29" s="279" t="s">
        <v>228</v>
      </c>
      <c r="B29" s="284">
        <f>B31-21</f>
        <v>45374</v>
      </c>
      <c r="C29" s="279" t="s">
        <v>229</v>
      </c>
      <c r="D29" s="305"/>
      <c r="E29" s="298">
        <f t="shared" si="1"/>
        <v>0</v>
      </c>
      <c r="F29" s="297"/>
    </row>
    <row r="30" spans="1:6">
      <c r="A30" s="279" t="s">
        <v>230</v>
      </c>
      <c r="B30" s="284">
        <f>B28+20</f>
        <v>45388</v>
      </c>
      <c r="C30" s="279" t="s">
        <v>231</v>
      </c>
      <c r="D30" s="305"/>
      <c r="E30" s="298">
        <f t="shared" si="1"/>
        <v>0</v>
      </c>
      <c r="F30" s="297"/>
    </row>
    <row r="31" spans="1:6">
      <c r="A31" s="279" t="s">
        <v>232</v>
      </c>
      <c r="B31" s="284">
        <f>B33-7</f>
        <v>45395</v>
      </c>
      <c r="C31" s="279" t="s">
        <v>233</v>
      </c>
      <c r="D31" s="305"/>
      <c r="E31" s="298">
        <f t="shared" si="1"/>
        <v>0</v>
      </c>
      <c r="F31" s="297"/>
    </row>
    <row r="32" spans="1:6" ht="25.5">
      <c r="A32" s="290" t="s">
        <v>251</v>
      </c>
      <c r="B32" s="284">
        <f>B31+7</f>
        <v>45402</v>
      </c>
      <c r="C32" s="290" t="s">
        <v>253</v>
      </c>
      <c r="D32" s="305"/>
      <c r="E32" s="298">
        <f t="shared" si="1"/>
        <v>0</v>
      </c>
      <c r="F32" s="297"/>
    </row>
    <row r="33" spans="1:6" ht="25.5">
      <c r="A33" s="279" t="s">
        <v>250</v>
      </c>
      <c r="B33" s="289">
        <f>B30+14</f>
        <v>45402</v>
      </c>
      <c r="C33" s="290" t="s">
        <v>252</v>
      </c>
      <c r="D33" s="307"/>
      <c r="E33" s="298">
        <f t="shared" si="1"/>
        <v>0</v>
      </c>
      <c r="F33" s="297"/>
    </row>
    <row r="34" spans="1:6" ht="38.25">
      <c r="A34" s="279" t="s">
        <v>234</v>
      </c>
      <c r="B34" s="284">
        <f>B35</f>
        <v>45447</v>
      </c>
      <c r="C34" s="279" t="s">
        <v>235</v>
      </c>
      <c r="D34" s="305"/>
      <c r="E34" s="298">
        <f t="shared" si="1"/>
        <v>0</v>
      </c>
      <c r="F34" s="297"/>
    </row>
    <row r="35" spans="1:6" ht="38.25">
      <c r="A35" s="279" t="s">
        <v>333</v>
      </c>
      <c r="B35" s="284">
        <f>B39-180</f>
        <v>45447</v>
      </c>
      <c r="C35" s="279" t="s">
        <v>236</v>
      </c>
      <c r="D35" s="305"/>
      <c r="E35" s="298">
        <f t="shared" si="1"/>
        <v>0</v>
      </c>
      <c r="F35" s="308"/>
    </row>
    <row r="36" spans="1:6" ht="25.5">
      <c r="A36" s="347" t="s">
        <v>237</v>
      </c>
      <c r="B36" s="285">
        <f>EDATE(B39,-7)</f>
        <v>45413</v>
      </c>
      <c r="C36" s="279" t="s">
        <v>238</v>
      </c>
      <c r="D36" s="305"/>
      <c r="E36" s="298">
        <f t="shared" si="1"/>
        <v>0</v>
      </c>
      <c r="F36" s="297"/>
    </row>
    <row r="37" spans="1:6" ht="25.5">
      <c r="A37" s="279" t="s">
        <v>239</v>
      </c>
      <c r="B37" s="284">
        <f>B39-28</f>
        <v>45599</v>
      </c>
      <c r="C37" s="279" t="s">
        <v>240</v>
      </c>
      <c r="D37" s="306"/>
      <c r="E37" s="298">
        <f t="shared" si="1"/>
        <v>0</v>
      </c>
      <c r="F37" s="297"/>
    </row>
    <row r="38" spans="1:6" ht="76.5">
      <c r="A38" s="279" t="s">
        <v>241</v>
      </c>
      <c r="B38" s="284"/>
      <c r="C38" s="341" t="s">
        <v>335</v>
      </c>
      <c r="D38" s="309"/>
      <c r="E38" s="298"/>
      <c r="F38" s="297"/>
    </row>
    <row r="39" spans="1:6">
      <c r="A39" s="347" t="s">
        <v>242</v>
      </c>
      <c r="B39" s="286">
        <v>45627</v>
      </c>
      <c r="D39" s="310">
        <f>SUM(B39,E2:E37)</f>
        <v>45627</v>
      </c>
      <c r="E39" s="311">
        <f>SUM(E2:E37)</f>
        <v>0</v>
      </c>
      <c r="F39" s="297"/>
    </row>
    <row r="40" spans="1:6">
      <c r="A40" s="347" t="s">
        <v>243</v>
      </c>
      <c r="B40" s="287"/>
    </row>
    <row r="41" spans="1:6">
      <c r="A41" s="347" t="s">
        <v>244</v>
      </c>
      <c r="B41" s="287"/>
    </row>
    <row r="43" spans="1:6">
      <c r="A43" s="281" t="s">
        <v>245</v>
      </c>
      <c r="B43">
        <f>DAYS360(B3,B39)</f>
        <v>780</v>
      </c>
    </row>
    <row r="44" spans="1:6">
      <c r="A44" s="281" t="s">
        <v>246</v>
      </c>
      <c r="B44" s="288">
        <f>B43/30</f>
        <v>26</v>
      </c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W42"/>
  <sheetViews>
    <sheetView topLeftCell="C1" zoomScale="50" zoomScaleNormal="50" workbookViewId="0">
      <pane ySplit="1" topLeftCell="A2" activePane="bottomLeft" state="frozen"/>
      <selection sqref="A1:C2"/>
      <selection pane="bottomLeft" activeCell="R21" sqref="R21"/>
    </sheetView>
  </sheetViews>
  <sheetFormatPr defaultColWidth="0" defaultRowHeight="12.75" zeroHeight="1"/>
  <cols>
    <col min="1" max="1" width="12" style="53" customWidth="1"/>
    <col min="2" max="2" width="39" style="53" customWidth="1"/>
    <col min="3" max="8" width="17.5703125" style="53" customWidth="1"/>
    <col min="9" max="9" width="21.140625" style="53" customWidth="1"/>
    <col min="10" max="10" width="17.85546875" style="53" customWidth="1"/>
    <col min="11" max="13" width="17.5703125" style="53" customWidth="1"/>
    <col min="14" max="14" width="11.5703125" style="53" bestFit="1" customWidth="1"/>
    <col min="15" max="15" width="13.140625" style="53" bestFit="1" customWidth="1"/>
    <col min="16" max="16" width="19.5703125" style="53" bestFit="1" customWidth="1"/>
    <col min="17" max="17" width="17.85546875" style="53" customWidth="1"/>
    <col min="18" max="18" width="15.5703125" style="53" bestFit="1" customWidth="1"/>
    <col min="19" max="19" width="13.85546875" style="53" bestFit="1" customWidth="1"/>
    <col min="20" max="20" width="13" style="53" customWidth="1"/>
    <col min="21" max="22" width="9.140625" style="53" customWidth="1"/>
    <col min="23" max="23" width="0" style="53" hidden="1" customWidth="1"/>
    <col min="24" max="16384" width="9.140625" style="53" hidden="1"/>
  </cols>
  <sheetData>
    <row r="1" spans="1:23" s="234" customFormat="1" ht="27.75">
      <c r="A1" s="361" t="s">
        <v>0</v>
      </c>
      <c r="B1" s="362"/>
      <c r="C1" s="362"/>
      <c r="D1" s="362"/>
      <c r="E1" s="362"/>
      <c r="F1" s="235" t="s">
        <v>1</v>
      </c>
      <c r="G1" s="235"/>
      <c r="H1" s="236"/>
      <c r="I1" s="360" t="s">
        <v>2</v>
      </c>
      <c r="J1" s="360"/>
      <c r="K1" s="360"/>
    </row>
    <row r="2" spans="1:23">
      <c r="A2" s="120"/>
      <c r="B2" s="120"/>
      <c r="C2" s="121"/>
      <c r="D2" s="121"/>
      <c r="E2" s="121"/>
    </row>
    <row r="3" spans="1:23" ht="15.75">
      <c r="B3" s="46" t="s">
        <v>3</v>
      </c>
      <c r="C3" s="118" t="s">
        <v>4</v>
      </c>
      <c r="D3" s="54"/>
      <c r="E3" s="55"/>
      <c r="F3" s="56"/>
      <c r="G3" s="56"/>
      <c r="H3" s="56"/>
      <c r="I3" s="56"/>
      <c r="J3" s="56"/>
      <c r="K3" s="57"/>
      <c r="L3" s="57"/>
      <c r="M3" s="57"/>
      <c r="N3" s="57"/>
      <c r="O3" s="57"/>
      <c r="P3" s="57"/>
    </row>
    <row r="4" spans="1:23" ht="15.75">
      <c r="B4" s="46" t="s">
        <v>5</v>
      </c>
      <c r="C4" s="119" t="s">
        <v>336</v>
      </c>
      <c r="D4" s="56"/>
      <c r="E4" s="55"/>
      <c r="F4" s="56"/>
      <c r="G4" s="56"/>
      <c r="H4" s="58"/>
      <c r="I4" s="59" t="s">
        <v>6</v>
      </c>
      <c r="J4" s="250">
        <v>44013</v>
      </c>
      <c r="K4" s="60"/>
      <c r="L4" s="57"/>
      <c r="M4" s="57"/>
      <c r="N4" s="57"/>
      <c r="O4" s="57"/>
      <c r="P4" s="57"/>
    </row>
    <row r="5" spans="1:23" ht="15.75">
      <c r="B5" s="46" t="s">
        <v>7</v>
      </c>
      <c r="C5" s="119" t="s">
        <v>316</v>
      </c>
      <c r="D5" s="54"/>
      <c r="E5" s="55"/>
      <c r="F5" s="56"/>
      <c r="G5" s="56"/>
      <c r="H5" s="56"/>
      <c r="I5" s="56"/>
      <c r="J5" s="56"/>
      <c r="K5" s="57"/>
      <c r="L5" s="57"/>
      <c r="M5" s="57"/>
      <c r="N5" s="57"/>
      <c r="O5" s="57"/>
      <c r="P5" s="57"/>
    </row>
    <row r="6" spans="1:23" ht="15.75">
      <c r="B6" s="46" t="s">
        <v>8</v>
      </c>
      <c r="C6" s="119" t="s">
        <v>317</v>
      </c>
      <c r="D6" s="56"/>
      <c r="E6" s="55"/>
      <c r="F6" s="56"/>
      <c r="G6" s="56"/>
      <c r="I6" s="46" t="s">
        <v>9</v>
      </c>
      <c r="J6" s="344" t="s">
        <v>318</v>
      </c>
      <c r="K6" s="57"/>
      <c r="L6" s="57"/>
      <c r="M6" s="57"/>
      <c r="N6" s="57"/>
      <c r="O6" s="57"/>
      <c r="P6" s="57"/>
    </row>
    <row r="7" spans="1:23" ht="15.75" thickBot="1">
      <c r="B7" s="44"/>
      <c r="C7" s="45"/>
      <c r="D7" s="44"/>
      <c r="E7" s="44"/>
      <c r="F7" s="45"/>
      <c r="G7" s="45"/>
      <c r="H7" s="45"/>
      <c r="I7" s="45"/>
      <c r="J7" s="45"/>
      <c r="K7" s="45"/>
      <c r="L7" s="44"/>
      <c r="M7" s="43"/>
      <c r="N7" s="57"/>
      <c r="O7" s="57"/>
      <c r="P7" s="57"/>
    </row>
    <row r="8" spans="1:23" ht="15.75">
      <c r="B8" s="42" t="s">
        <v>10</v>
      </c>
      <c r="C8" s="41" t="s">
        <v>10</v>
      </c>
      <c r="D8" s="40" t="s">
        <v>11</v>
      </c>
      <c r="E8" s="40" t="s">
        <v>12</v>
      </c>
      <c r="F8" s="40" t="s">
        <v>10</v>
      </c>
      <c r="G8" s="40"/>
      <c r="H8" s="40" t="s">
        <v>10</v>
      </c>
      <c r="I8" s="40" t="s">
        <v>10</v>
      </c>
      <c r="J8" s="40" t="s">
        <v>13</v>
      </c>
      <c r="K8" s="40" t="s">
        <v>14</v>
      </c>
      <c r="L8" s="39" t="s">
        <v>15</v>
      </c>
      <c r="M8" s="37" t="s">
        <v>15</v>
      </c>
      <c r="N8" s="57"/>
      <c r="O8" s="57"/>
      <c r="P8" s="226" t="s">
        <v>16</v>
      </c>
      <c r="Q8" s="184"/>
      <c r="R8" s="184"/>
      <c r="S8" s="184"/>
      <c r="T8" s="185"/>
      <c r="U8" s="61"/>
      <c r="V8" s="61"/>
      <c r="W8" s="61"/>
    </row>
    <row r="9" spans="1:23" ht="15.75">
      <c r="B9" s="62"/>
      <c r="C9" s="35" t="s">
        <v>17</v>
      </c>
      <c r="D9" s="35" t="s">
        <v>18</v>
      </c>
      <c r="E9" s="35" t="s">
        <v>19</v>
      </c>
      <c r="F9" s="35" t="s">
        <v>20</v>
      </c>
      <c r="G9" s="38" t="s">
        <v>21</v>
      </c>
      <c r="H9" s="35" t="s">
        <v>22</v>
      </c>
      <c r="I9" s="35" t="s">
        <v>23</v>
      </c>
      <c r="J9" s="35" t="s">
        <v>24</v>
      </c>
      <c r="K9" s="35" t="s">
        <v>25</v>
      </c>
      <c r="L9" s="34" t="s">
        <v>26</v>
      </c>
      <c r="M9" s="37" t="s">
        <v>27</v>
      </c>
      <c r="N9" s="57"/>
      <c r="O9" s="57"/>
      <c r="P9" s="186"/>
      <c r="Q9" s="187"/>
      <c r="R9" s="187"/>
      <c r="S9" s="187"/>
      <c r="T9" s="188"/>
      <c r="U9" s="61"/>
      <c r="V9" s="61"/>
      <c r="W9" s="61"/>
    </row>
    <row r="10" spans="1:23" ht="15.75">
      <c r="B10" s="36" t="s">
        <v>28</v>
      </c>
      <c r="C10" s="35" t="s">
        <v>29</v>
      </c>
      <c r="D10" s="35">
        <v>104</v>
      </c>
      <c r="E10" s="35" t="s">
        <v>30</v>
      </c>
      <c r="F10" s="35">
        <v>255</v>
      </c>
      <c r="G10" s="35">
        <v>253</v>
      </c>
      <c r="H10" s="35" t="s">
        <v>31</v>
      </c>
      <c r="I10" s="35" t="s">
        <v>32</v>
      </c>
      <c r="J10" s="35" t="s">
        <v>33</v>
      </c>
      <c r="K10" s="35" t="s">
        <v>34</v>
      </c>
      <c r="L10" s="34" t="s">
        <v>35</v>
      </c>
      <c r="M10" s="33" t="s">
        <v>22</v>
      </c>
      <c r="N10" s="57"/>
      <c r="O10" s="57"/>
      <c r="P10" s="186"/>
      <c r="Q10" s="187"/>
      <c r="R10" s="187"/>
      <c r="S10" s="187"/>
      <c r="T10" s="188"/>
      <c r="U10" s="61"/>
      <c r="V10" s="61"/>
      <c r="W10" s="61"/>
    </row>
    <row r="11" spans="1:23" ht="15">
      <c r="B11" s="320"/>
      <c r="C11" s="321"/>
      <c r="D11" s="321"/>
      <c r="E11" s="321"/>
      <c r="F11" s="321"/>
      <c r="G11" s="321"/>
      <c r="H11" s="321"/>
      <c r="I11" s="321"/>
      <c r="J11" s="321"/>
      <c r="K11" s="321"/>
      <c r="L11" s="322"/>
      <c r="M11" s="276"/>
      <c r="N11" s="57"/>
      <c r="O11" s="57"/>
      <c r="P11" s="186"/>
      <c r="Q11" s="187"/>
      <c r="R11" s="187"/>
      <c r="S11" s="187"/>
      <c r="T11" s="188"/>
      <c r="U11" s="61"/>
      <c r="V11" s="61"/>
      <c r="W11" s="61"/>
    </row>
    <row r="12" spans="1:23" ht="15.75">
      <c r="B12" s="329" t="s">
        <v>301</v>
      </c>
      <c r="C12" s="324">
        <v>1</v>
      </c>
      <c r="D12" s="330">
        <v>0.1</v>
      </c>
      <c r="E12" s="330">
        <v>0.9</v>
      </c>
      <c r="F12" s="330">
        <v>0.25</v>
      </c>
      <c r="G12" s="330">
        <v>1</v>
      </c>
      <c r="H12" s="330">
        <v>0</v>
      </c>
      <c r="I12" s="330">
        <v>1</v>
      </c>
      <c r="J12" s="330">
        <v>0</v>
      </c>
      <c r="K12" s="330">
        <v>0</v>
      </c>
      <c r="L12" s="328">
        <f>SUM(D12:K12)</f>
        <v>3.25</v>
      </c>
      <c r="M12" s="328">
        <f>L12-H12</f>
        <v>3.25</v>
      </c>
      <c r="N12" s="57"/>
      <c r="O12" s="57"/>
      <c r="P12" s="186"/>
      <c r="Q12" s="187"/>
      <c r="R12" s="187"/>
      <c r="S12" s="187"/>
      <c r="T12" s="188"/>
      <c r="U12" s="61"/>
      <c r="V12" s="61"/>
      <c r="W12" s="61"/>
    </row>
    <row r="13" spans="1:23" s="65" customFormat="1" ht="30" customHeight="1" thickBot="1">
      <c r="B13" s="329" t="s">
        <v>36</v>
      </c>
      <c r="C13" s="327">
        <v>1</v>
      </c>
      <c r="D13" s="328">
        <f>0.1*C13</f>
        <v>0.1</v>
      </c>
      <c r="E13" s="328">
        <f>0.9*$C13</f>
        <v>0.9</v>
      </c>
      <c r="F13" s="328">
        <f>0.5*C13</f>
        <v>0.5</v>
      </c>
      <c r="G13" s="328">
        <f>1*C13</f>
        <v>1</v>
      </c>
      <c r="H13" s="328">
        <v>1</v>
      </c>
      <c r="I13" s="328">
        <f>1*C13</f>
        <v>1</v>
      </c>
      <c r="J13" s="328">
        <v>0</v>
      </c>
      <c r="K13" s="328">
        <v>0</v>
      </c>
      <c r="L13" s="328">
        <f t="shared" ref="L13:L19" si="0">SUM(D13:K13)</f>
        <v>4.5</v>
      </c>
      <c r="M13" s="328">
        <f>L13-H13</f>
        <v>3.5</v>
      </c>
      <c r="N13" s="63"/>
      <c r="O13" s="63"/>
      <c r="P13" s="189"/>
      <c r="Q13" s="190"/>
      <c r="R13" s="190"/>
      <c r="S13" s="187"/>
      <c r="T13" s="191"/>
      <c r="U13" s="64"/>
      <c r="V13" s="64"/>
      <c r="W13" s="64"/>
    </row>
    <row r="14" spans="1:23" s="65" customFormat="1" ht="30" customHeight="1" thickBot="1">
      <c r="B14" s="329" t="s">
        <v>37</v>
      </c>
      <c r="C14" s="327">
        <v>1</v>
      </c>
      <c r="D14" s="328">
        <f>0.1*C14</f>
        <v>0.1</v>
      </c>
      <c r="E14" s="328">
        <f>0.9*$C14</f>
        <v>0.9</v>
      </c>
      <c r="F14" s="328">
        <f>1*$C14</f>
        <v>1</v>
      </c>
      <c r="G14" s="326">
        <v>0</v>
      </c>
      <c r="H14" s="328">
        <f>4*$C14</f>
        <v>4</v>
      </c>
      <c r="I14" s="328">
        <f>2*$C14</f>
        <v>2</v>
      </c>
      <c r="J14" s="328">
        <v>0</v>
      </c>
      <c r="K14" s="328">
        <v>0</v>
      </c>
      <c r="L14" s="328">
        <f t="shared" si="0"/>
        <v>8</v>
      </c>
      <c r="M14" s="328">
        <f t="shared" ref="M14:M19" si="1">L14-H14</f>
        <v>4</v>
      </c>
      <c r="N14" s="63"/>
      <c r="O14" s="63"/>
      <c r="P14" s="206" t="s">
        <v>38</v>
      </c>
      <c r="Q14" s="207" t="s">
        <v>39</v>
      </c>
      <c r="R14" s="208" t="s">
        <v>40</v>
      </c>
      <c r="S14" s="208" t="s">
        <v>41</v>
      </c>
      <c r="T14" s="191"/>
      <c r="U14" s="64"/>
      <c r="V14" s="64"/>
      <c r="W14" s="64"/>
    </row>
    <row r="15" spans="1:23" s="65" customFormat="1" ht="30" customHeight="1">
      <c r="B15" s="329" t="s">
        <v>42</v>
      </c>
      <c r="C15" s="327">
        <v>1</v>
      </c>
      <c r="D15" s="328">
        <f>0.5*C15</f>
        <v>0.5</v>
      </c>
      <c r="E15" s="328">
        <f>1*$C15</f>
        <v>1</v>
      </c>
      <c r="F15" s="328">
        <v>1</v>
      </c>
      <c r="G15" s="328">
        <v>0</v>
      </c>
      <c r="H15" s="328">
        <v>4</v>
      </c>
      <c r="I15" s="328">
        <f>2.5*$C15</f>
        <v>2.5</v>
      </c>
      <c r="J15" s="328">
        <f>0.2*$C15</f>
        <v>0.2</v>
      </c>
      <c r="K15" s="328">
        <f>0.2*$C15</f>
        <v>0.2</v>
      </c>
      <c r="L15" s="328">
        <f t="shared" si="0"/>
        <v>9.3999999999999986</v>
      </c>
      <c r="M15" s="328">
        <f t="shared" si="1"/>
        <v>5.3999999999999986</v>
      </c>
      <c r="N15" s="63"/>
      <c r="O15" s="63"/>
      <c r="P15" s="204" t="s">
        <v>43</v>
      </c>
      <c r="Q15" s="351">
        <v>0.25</v>
      </c>
      <c r="R15" s="251" t="s">
        <v>337</v>
      </c>
      <c r="S15" s="251" t="s">
        <v>338</v>
      </c>
      <c r="T15" s="191"/>
      <c r="U15" s="64"/>
      <c r="V15" s="64"/>
      <c r="W15" s="64"/>
    </row>
    <row r="16" spans="1:23" s="65" customFormat="1" ht="30" customHeight="1">
      <c r="B16" s="329" t="s">
        <v>44</v>
      </c>
      <c r="C16" s="327">
        <v>1</v>
      </c>
      <c r="D16" s="328">
        <f>0.5*C16</f>
        <v>0.5</v>
      </c>
      <c r="E16" s="328">
        <f>2*$C16</f>
        <v>2</v>
      </c>
      <c r="F16" s="328">
        <f>1.5*$C16</f>
        <v>1.5</v>
      </c>
      <c r="G16" s="328">
        <v>0</v>
      </c>
      <c r="H16" s="328">
        <f>7*$C16</f>
        <v>7</v>
      </c>
      <c r="I16" s="328">
        <f>3.5*$C16</f>
        <v>3.5</v>
      </c>
      <c r="J16" s="328">
        <v>0</v>
      </c>
      <c r="K16" s="328">
        <v>0</v>
      </c>
      <c r="L16" s="328">
        <f t="shared" si="0"/>
        <v>14.5</v>
      </c>
      <c r="M16" s="328">
        <f t="shared" si="1"/>
        <v>7.5</v>
      </c>
      <c r="N16" s="63"/>
      <c r="O16" s="63"/>
      <c r="P16" s="197" t="s">
        <v>45</v>
      </c>
      <c r="Q16" s="352">
        <v>0.1</v>
      </c>
      <c r="R16" s="251" t="s">
        <v>337</v>
      </c>
      <c r="S16" s="251" t="s">
        <v>339</v>
      </c>
      <c r="T16" s="191"/>
      <c r="U16" s="64"/>
      <c r="V16" s="64"/>
      <c r="W16" s="64"/>
    </row>
    <row r="17" spans="2:23" s="65" customFormat="1" ht="30" customHeight="1">
      <c r="B17" s="329" t="s">
        <v>47</v>
      </c>
      <c r="C17" s="327">
        <v>1</v>
      </c>
      <c r="D17" s="328">
        <f>0.5*C17</f>
        <v>0.5</v>
      </c>
      <c r="E17" s="328">
        <f>2*$C17</f>
        <v>2</v>
      </c>
      <c r="F17" s="328">
        <v>1.5</v>
      </c>
      <c r="G17" s="328">
        <v>0</v>
      </c>
      <c r="H17" s="328">
        <v>7</v>
      </c>
      <c r="I17" s="328">
        <f>4*$C17</f>
        <v>4</v>
      </c>
      <c r="J17" s="328">
        <f>4.5*$C17</f>
        <v>4.5</v>
      </c>
      <c r="K17" s="328">
        <f>2.5*$C17</f>
        <v>2.5</v>
      </c>
      <c r="L17" s="328">
        <f t="shared" si="0"/>
        <v>22</v>
      </c>
      <c r="M17" s="328">
        <f t="shared" si="1"/>
        <v>15</v>
      </c>
      <c r="N17" s="63"/>
      <c r="O17" s="63"/>
      <c r="P17" s="197" t="s">
        <v>48</v>
      </c>
      <c r="Q17" s="198">
        <v>0.56999999999999995</v>
      </c>
      <c r="R17" s="251" t="s">
        <v>337</v>
      </c>
      <c r="S17" s="251" t="s">
        <v>340</v>
      </c>
      <c r="T17" s="191"/>
      <c r="U17" s="64"/>
      <c r="V17" s="64"/>
      <c r="W17" s="64"/>
    </row>
    <row r="18" spans="2:23" s="65" customFormat="1" ht="30" customHeight="1">
      <c r="B18" s="329" t="s">
        <v>49</v>
      </c>
      <c r="C18" s="327">
        <v>1</v>
      </c>
      <c r="D18" s="328">
        <f>0.5*C18</f>
        <v>0.5</v>
      </c>
      <c r="E18" s="328">
        <f>2*$C18</f>
        <v>2</v>
      </c>
      <c r="F18" s="328">
        <f>2*$C18</f>
        <v>2</v>
      </c>
      <c r="G18" s="328">
        <v>0</v>
      </c>
      <c r="H18" s="328">
        <f>10*$C18</f>
        <v>10</v>
      </c>
      <c r="I18" s="328">
        <f>4.5*$C18</f>
        <v>4.5</v>
      </c>
      <c r="J18" s="328">
        <v>0</v>
      </c>
      <c r="K18" s="328">
        <v>0</v>
      </c>
      <c r="L18" s="328">
        <f t="shared" si="0"/>
        <v>19</v>
      </c>
      <c r="M18" s="328">
        <f t="shared" si="1"/>
        <v>9</v>
      </c>
      <c r="N18" s="63"/>
      <c r="O18" s="63"/>
      <c r="P18" s="197" t="s">
        <v>50</v>
      </c>
      <c r="Q18" s="198">
        <v>0.34</v>
      </c>
      <c r="R18" s="251" t="s">
        <v>337</v>
      </c>
      <c r="S18" s="251" t="s">
        <v>341</v>
      </c>
      <c r="T18" s="191"/>
      <c r="U18" s="64"/>
      <c r="V18" s="64"/>
      <c r="W18" s="64"/>
    </row>
    <row r="19" spans="2:23" s="65" customFormat="1" ht="30" customHeight="1">
      <c r="B19" s="329" t="s">
        <v>51</v>
      </c>
      <c r="C19" s="327">
        <v>1</v>
      </c>
      <c r="D19" s="328">
        <f>1*C19</f>
        <v>1</v>
      </c>
      <c r="E19" s="328">
        <f>2*$C19</f>
        <v>2</v>
      </c>
      <c r="F19" s="328">
        <v>2</v>
      </c>
      <c r="G19" s="328">
        <v>0</v>
      </c>
      <c r="H19" s="328">
        <v>10</v>
      </c>
      <c r="I19" s="328">
        <f>4.5*$C19</f>
        <v>4.5</v>
      </c>
      <c r="J19" s="328">
        <f>5*$C19</f>
        <v>5</v>
      </c>
      <c r="K19" s="328">
        <f>2.5*$C19</f>
        <v>2.5</v>
      </c>
      <c r="L19" s="328">
        <f t="shared" si="0"/>
        <v>27</v>
      </c>
      <c r="M19" s="328">
        <f t="shared" si="1"/>
        <v>17</v>
      </c>
      <c r="N19" s="63"/>
      <c r="O19" s="63"/>
      <c r="P19" s="197" t="s">
        <v>52</v>
      </c>
      <c r="Q19" s="353">
        <v>1.1499999999999999</v>
      </c>
      <c r="R19" s="251" t="s">
        <v>337</v>
      </c>
      <c r="S19" s="251" t="s">
        <v>342</v>
      </c>
      <c r="T19" s="191"/>
      <c r="U19" s="64"/>
      <c r="V19" s="64"/>
      <c r="W19" s="64"/>
    </row>
    <row r="20" spans="2:23" s="69" customFormat="1" ht="30" customHeight="1" thickBot="1">
      <c r="B20" s="25" t="s">
        <v>53</v>
      </c>
      <c r="C20" s="325">
        <f>SUM(C12:C19)</f>
        <v>8</v>
      </c>
      <c r="D20" s="28">
        <f>SUM(D13:D19)</f>
        <v>3.2</v>
      </c>
      <c r="E20" s="28">
        <f t="shared" ref="E20:L20" si="2">SUM(E13:E19)</f>
        <v>10.8</v>
      </c>
      <c r="F20" s="28">
        <f t="shared" si="2"/>
        <v>9.5</v>
      </c>
      <c r="G20" s="28">
        <f t="shared" si="2"/>
        <v>1</v>
      </c>
      <c r="H20" s="28">
        <f t="shared" si="2"/>
        <v>43</v>
      </c>
      <c r="I20" s="28">
        <f t="shared" si="2"/>
        <v>22</v>
      </c>
      <c r="J20" s="28">
        <f t="shared" si="2"/>
        <v>9.6999999999999993</v>
      </c>
      <c r="K20" s="28">
        <f t="shared" si="2"/>
        <v>5.2</v>
      </c>
      <c r="L20" s="28">
        <f t="shared" si="2"/>
        <v>104.4</v>
      </c>
      <c r="M20" s="66"/>
      <c r="N20" s="67"/>
      <c r="O20" s="67"/>
      <c r="P20" s="197" t="s">
        <v>54</v>
      </c>
      <c r="Q20" s="198">
        <v>0.92</v>
      </c>
      <c r="R20" s="251" t="s">
        <v>337</v>
      </c>
      <c r="S20" s="251" t="s">
        <v>343</v>
      </c>
      <c r="T20" s="192"/>
      <c r="U20" s="68"/>
      <c r="V20" s="68"/>
      <c r="W20" s="68"/>
    </row>
    <row r="21" spans="2:23" s="69" customFormat="1" ht="30" customHeight="1" thickTop="1" thickBot="1">
      <c r="B21" s="70"/>
      <c r="C21" s="215" t="s">
        <v>55</v>
      </c>
      <c r="D21" s="61"/>
      <c r="E21" s="61"/>
      <c r="F21" s="61"/>
      <c r="G21" s="61"/>
      <c r="H21" s="61"/>
      <c r="I21" s="61"/>
      <c r="J21" s="27">
        <f>IF(J20&gt;11,J20+8,J20)</f>
        <v>9.6999999999999993</v>
      </c>
      <c r="K21" s="71" t="s">
        <v>56</v>
      </c>
      <c r="L21" s="26">
        <f>L20-J20+J21</f>
        <v>104.4</v>
      </c>
      <c r="M21" s="48"/>
      <c r="N21" s="72"/>
      <c r="O21" s="72"/>
      <c r="P21" s="197" t="s">
        <v>57</v>
      </c>
      <c r="Q21" s="198">
        <v>1.03</v>
      </c>
      <c r="R21" s="251" t="s">
        <v>337</v>
      </c>
      <c r="S21" s="251" t="s">
        <v>344</v>
      </c>
      <c r="T21" s="192"/>
      <c r="U21" s="68"/>
      <c r="V21" s="68"/>
      <c r="W21" s="68"/>
    </row>
    <row r="22" spans="2:23" s="69" customFormat="1" ht="30" customHeight="1" thickBot="1">
      <c r="B22" s="25" t="s">
        <v>58</v>
      </c>
      <c r="C22" s="89">
        <v>1</v>
      </c>
      <c r="D22" s="24" t="s">
        <v>10</v>
      </c>
      <c r="E22" s="23" t="s">
        <v>10</v>
      </c>
      <c r="F22" s="23" t="s">
        <v>10</v>
      </c>
      <c r="G22" s="23"/>
      <c r="H22" s="23" t="s">
        <v>10</v>
      </c>
      <c r="I22" s="73"/>
      <c r="J22" s="22">
        <f>C22</f>
        <v>1</v>
      </c>
      <c r="K22" s="21" t="s">
        <v>10</v>
      </c>
      <c r="L22" s="74">
        <f>L21+J22</f>
        <v>105.4</v>
      </c>
      <c r="M22" s="66"/>
      <c r="N22" s="67"/>
      <c r="O22" s="67"/>
      <c r="P22" s="197" t="s">
        <v>59</v>
      </c>
      <c r="Q22" s="198">
        <v>0.69</v>
      </c>
      <c r="R22" s="251" t="s">
        <v>337</v>
      </c>
      <c r="S22" s="251" t="s">
        <v>345</v>
      </c>
      <c r="T22" s="192"/>
      <c r="U22" s="68"/>
      <c r="V22" s="68"/>
      <c r="W22" s="68"/>
    </row>
    <row r="23" spans="2:23" s="69" customFormat="1" ht="30" customHeight="1" thickTop="1" thickBot="1">
      <c r="B23" s="70"/>
      <c r="C23" s="9"/>
      <c r="D23" s="75" t="s">
        <v>10</v>
      </c>
      <c r="E23" s="9" t="s">
        <v>10</v>
      </c>
      <c r="F23" s="1" t="s">
        <v>10</v>
      </c>
      <c r="G23" s="1"/>
      <c r="H23" s="75"/>
      <c r="I23" s="20" t="s">
        <v>10</v>
      </c>
      <c r="J23" s="19">
        <f>SUM(J21+J22)</f>
        <v>10.7</v>
      </c>
      <c r="K23" s="61"/>
      <c r="L23" s="76"/>
      <c r="M23" s="77"/>
      <c r="N23" s="67"/>
      <c r="O23" s="67"/>
      <c r="P23" s="197" t="s">
        <v>60</v>
      </c>
      <c r="Q23" s="198">
        <v>1.72</v>
      </c>
      <c r="R23" s="251" t="s">
        <v>337</v>
      </c>
      <c r="S23" s="251" t="s">
        <v>346</v>
      </c>
      <c r="T23" s="192"/>
      <c r="U23" s="68"/>
      <c r="V23" s="68"/>
      <c r="W23" s="68"/>
    </row>
    <row r="24" spans="2:23" s="69" customFormat="1" ht="30" customHeight="1" thickBot="1">
      <c r="B24" s="18" t="s">
        <v>61</v>
      </c>
      <c r="C24" s="90">
        <f>C20+C22</f>
        <v>9</v>
      </c>
      <c r="D24" s="17" t="s">
        <v>10</v>
      </c>
      <c r="E24" s="1" t="s">
        <v>10</v>
      </c>
      <c r="F24" s="61"/>
      <c r="G24" s="61"/>
      <c r="H24" s="61"/>
      <c r="I24" s="61"/>
      <c r="J24" s="61"/>
      <c r="K24" s="16"/>
      <c r="L24" s="76"/>
      <c r="M24" s="77"/>
      <c r="N24" s="67"/>
      <c r="O24" s="67"/>
      <c r="P24" s="197" t="s">
        <v>62</v>
      </c>
      <c r="Q24" s="198"/>
      <c r="R24" s="205" t="s">
        <v>46</v>
      </c>
      <c r="S24" s="205"/>
      <c r="T24" s="192"/>
      <c r="U24" s="68"/>
      <c r="V24" s="68"/>
      <c r="W24" s="68"/>
    </row>
    <row r="25" spans="2:23" s="69" customFormat="1" ht="30" customHeight="1">
      <c r="B25" s="13"/>
      <c r="C25" s="61"/>
      <c r="D25" s="61"/>
      <c r="E25" s="61"/>
      <c r="F25" s="61"/>
      <c r="G25" s="61"/>
      <c r="H25" s="61"/>
      <c r="I25" s="61"/>
      <c r="J25" s="61"/>
      <c r="K25" s="61"/>
      <c r="L25" s="76"/>
      <c r="M25" s="77"/>
      <c r="N25" s="53"/>
      <c r="O25" s="53"/>
      <c r="P25" s="193"/>
      <c r="Q25" s="187"/>
      <c r="R25" s="187"/>
      <c r="S25" s="187"/>
      <c r="T25" s="192"/>
      <c r="U25" s="68"/>
      <c r="V25" s="68"/>
      <c r="W25" s="68"/>
    </row>
    <row r="26" spans="2:23" s="69" customFormat="1" ht="30" customHeight="1" thickBot="1">
      <c r="B26" s="70"/>
      <c r="C26" s="61"/>
      <c r="D26" s="1" t="s">
        <v>10</v>
      </c>
      <c r="E26" s="75"/>
      <c r="F26" s="61"/>
      <c r="G26" s="61"/>
      <c r="H26" s="78"/>
      <c r="I26" s="78" t="s">
        <v>63</v>
      </c>
      <c r="J26" s="79" t="s">
        <v>64</v>
      </c>
      <c r="K26" s="78"/>
      <c r="L26" s="11">
        <f>L22</f>
        <v>105.4</v>
      </c>
      <c r="M26" s="49"/>
      <c r="N26" s="67"/>
      <c r="O26" s="67"/>
      <c r="P26" s="193"/>
      <c r="Q26" s="187"/>
      <c r="R26" s="187"/>
      <c r="S26" s="187"/>
      <c r="T26" s="192"/>
      <c r="U26" s="68"/>
      <c r="V26" s="68"/>
      <c r="W26" s="68"/>
    </row>
    <row r="27" spans="2:23" s="69" customFormat="1" ht="30" customHeight="1">
      <c r="B27" s="13" t="s">
        <v>65</v>
      </c>
      <c r="C27" s="75"/>
      <c r="D27" s="75"/>
      <c r="E27" s="75"/>
      <c r="F27" s="75"/>
      <c r="G27" s="75"/>
      <c r="H27" s="75"/>
      <c r="I27" s="1" t="s">
        <v>10</v>
      </c>
      <c r="J27" s="75"/>
      <c r="K27" s="75"/>
      <c r="L27" s="80" t="s">
        <v>10</v>
      </c>
      <c r="M27" s="81"/>
      <c r="N27" s="67"/>
      <c r="O27" s="67"/>
      <c r="P27" s="193"/>
      <c r="Q27" s="187"/>
      <c r="R27" s="187"/>
      <c r="S27" s="187"/>
      <c r="T27" s="192"/>
      <c r="U27" s="68"/>
      <c r="V27" s="68"/>
      <c r="W27" s="68"/>
    </row>
    <row r="28" spans="2:23" s="69" customFormat="1" ht="30" customHeight="1" thickBot="1">
      <c r="B28" s="13" t="s">
        <v>66</v>
      </c>
      <c r="C28" s="75"/>
      <c r="D28" s="75"/>
      <c r="E28" s="75"/>
      <c r="F28" s="75"/>
      <c r="G28" s="82"/>
      <c r="H28" s="75"/>
      <c r="I28" s="61"/>
      <c r="J28" s="61"/>
      <c r="K28" s="15" t="s">
        <v>67</v>
      </c>
      <c r="L28" s="14">
        <v>0</v>
      </c>
      <c r="M28" s="49"/>
      <c r="N28" s="67"/>
      <c r="O28" s="67"/>
      <c r="P28" s="193"/>
      <c r="Q28" s="187"/>
      <c r="R28" s="187"/>
      <c r="S28" s="187"/>
      <c r="T28" s="192"/>
      <c r="U28" s="68"/>
      <c r="V28" s="68"/>
      <c r="W28" s="68"/>
    </row>
    <row r="29" spans="2:23" s="69" customFormat="1" ht="30" customHeight="1">
      <c r="B29" s="13" t="s">
        <v>68</v>
      </c>
      <c r="C29" s="75"/>
      <c r="D29" s="75"/>
      <c r="E29" s="75"/>
      <c r="F29" s="75"/>
      <c r="G29" s="75"/>
      <c r="H29" s="75"/>
      <c r="I29" s="75"/>
      <c r="J29" s="75" t="s">
        <v>10</v>
      </c>
      <c r="K29" s="75"/>
      <c r="L29" s="83"/>
      <c r="M29" s="84"/>
      <c r="N29" s="67"/>
      <c r="O29" s="67"/>
      <c r="P29" s="193"/>
      <c r="Q29" s="187"/>
      <c r="R29" s="187"/>
      <c r="S29" s="187"/>
      <c r="T29" s="192"/>
      <c r="U29" s="68"/>
      <c r="V29" s="68"/>
      <c r="W29" s="68"/>
    </row>
    <row r="30" spans="2:23" s="69" customFormat="1" ht="30" customHeight="1" thickBot="1">
      <c r="B30" s="13" t="s">
        <v>10</v>
      </c>
      <c r="C30" s="75"/>
      <c r="D30" s="75"/>
      <c r="E30" s="12"/>
      <c r="F30" s="1" t="s">
        <v>10</v>
      </c>
      <c r="G30" s="1"/>
      <c r="H30" s="85"/>
      <c r="I30" s="85" t="s">
        <v>69</v>
      </c>
      <c r="J30" s="85"/>
      <c r="K30" s="85"/>
      <c r="L30" s="11">
        <f>SUM(L26+L28)</f>
        <v>105.4</v>
      </c>
      <c r="M30" s="49"/>
      <c r="N30" s="67"/>
      <c r="O30" s="67"/>
      <c r="P30" s="193"/>
      <c r="Q30" s="187"/>
      <c r="R30" s="187"/>
      <c r="S30" s="187"/>
      <c r="T30" s="192"/>
      <c r="U30" s="68"/>
      <c r="V30" s="68"/>
      <c r="W30" s="68"/>
    </row>
    <row r="31" spans="2:23" s="69" customFormat="1" ht="30" customHeight="1">
      <c r="B31" s="86"/>
      <c r="C31" s="10">
        <f>L30</f>
        <v>105.4</v>
      </c>
      <c r="D31" s="9" t="s">
        <v>70</v>
      </c>
      <c r="E31" s="209">
        <v>338.56</v>
      </c>
      <c r="F31" s="8" t="s">
        <v>71</v>
      </c>
      <c r="G31" s="7">
        <f>C31*E31</f>
        <v>35684.224000000002</v>
      </c>
      <c r="H31" s="6" t="s">
        <v>10</v>
      </c>
      <c r="I31" s="75"/>
      <c r="J31" s="75"/>
      <c r="K31" s="75"/>
      <c r="L31" s="5" t="s">
        <v>10</v>
      </c>
      <c r="M31" s="1"/>
      <c r="N31" s="67"/>
      <c r="O31" s="67"/>
      <c r="P31" s="193"/>
      <c r="Q31" s="187"/>
      <c r="R31" s="187"/>
      <c r="S31" s="187"/>
      <c r="T31" s="192"/>
      <c r="U31" s="68"/>
      <c r="V31" s="68"/>
      <c r="W31" s="68"/>
    </row>
    <row r="32" spans="2:23" s="69" customFormat="1" ht="30" customHeight="1" thickBot="1">
      <c r="B32" s="86"/>
      <c r="C32" s="75"/>
      <c r="D32" s="75"/>
      <c r="E32" s="75"/>
      <c r="F32" s="75"/>
      <c r="G32" s="75"/>
      <c r="H32" s="75"/>
      <c r="I32" s="61"/>
      <c r="J32" s="75"/>
      <c r="K32" s="75"/>
      <c r="L32" s="76"/>
      <c r="M32" s="75"/>
      <c r="N32" s="67"/>
      <c r="O32" s="67"/>
      <c r="P32" s="193"/>
      <c r="Q32" s="187"/>
      <c r="R32" s="187"/>
      <c r="S32" s="187"/>
      <c r="T32" s="192"/>
      <c r="U32" s="68"/>
      <c r="V32" s="68"/>
      <c r="W32" s="68"/>
    </row>
    <row r="33" spans="2:23" s="69" customFormat="1" ht="30" customHeight="1" thickBot="1">
      <c r="B33" s="86"/>
      <c r="C33" s="75"/>
      <c r="D33" s="50" t="s">
        <v>72</v>
      </c>
      <c r="E33" s="51">
        <f>ROUND(G31, -2)</f>
        <v>35700</v>
      </c>
      <c r="F33" s="52"/>
      <c r="G33" s="75"/>
      <c r="H33" s="75"/>
      <c r="I33" s="75"/>
      <c r="J33" s="75"/>
      <c r="K33" s="75"/>
      <c r="L33" s="5" t="s">
        <v>10</v>
      </c>
      <c r="M33" s="1"/>
      <c r="N33" s="67"/>
      <c r="O33" s="67"/>
      <c r="P33" s="193"/>
      <c r="Q33" s="187"/>
      <c r="R33" s="187"/>
      <c r="S33" s="187"/>
      <c r="T33" s="192"/>
      <c r="U33" s="68"/>
      <c r="V33" s="68"/>
      <c r="W33" s="68"/>
    </row>
    <row r="34" spans="2:23" ht="30" customHeight="1" thickBot="1">
      <c r="B34" s="87"/>
      <c r="C34" s="88"/>
      <c r="D34" s="4"/>
      <c r="E34" s="3"/>
      <c r="F34" s="88"/>
      <c r="G34" s="88"/>
      <c r="H34" s="88"/>
      <c r="I34" s="88"/>
      <c r="J34" s="88"/>
      <c r="K34" s="88"/>
      <c r="L34" s="2" t="s">
        <v>10</v>
      </c>
      <c r="M34" s="1"/>
      <c r="N34" s="67"/>
      <c r="O34" s="67"/>
      <c r="P34" s="194"/>
      <c r="Q34" s="195"/>
      <c r="R34" s="195"/>
      <c r="S34" s="195"/>
      <c r="T34" s="196"/>
      <c r="U34" s="61"/>
      <c r="V34" s="61"/>
      <c r="W34" s="61"/>
    </row>
    <row r="35" spans="2:23" ht="1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2:23"/>
    <row r="37" spans="2:23"/>
    <row r="38" spans="2:23"/>
    <row r="39" spans="2:23"/>
    <row r="40" spans="2:23"/>
    <row r="41" spans="2:23"/>
    <row r="42" spans="2:23"/>
  </sheetData>
  <sheetProtection selectLockedCells="1"/>
  <mergeCells count="2">
    <mergeCell ref="I1:K1"/>
    <mergeCell ref="A1:E1"/>
  </mergeCells>
  <pageMargins left="0.51" right="0.49" top="1.04" bottom="0.7" header="0.48" footer="0.3"/>
  <pageSetup paperSize="17" scale="59" orientation="landscape" useFirstPageNumber="1" r:id="rId1"/>
  <headerFooter alignWithMargins="0">
    <oddHeader>&amp;C&amp;"Univers,Bold"&amp;24&amp;F Project Estimate</oddHeader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BB2C-A5D0-4702-A112-EC91253B9C2A}">
  <dimension ref="A1:P34"/>
  <sheetViews>
    <sheetView topLeftCell="D1" workbookViewId="0">
      <selection activeCell="N3" sqref="N3"/>
    </sheetView>
  </sheetViews>
  <sheetFormatPr defaultRowHeight="12.75"/>
  <cols>
    <col min="1" max="1" width="18.5703125" bestFit="1" customWidth="1"/>
    <col min="2" max="2" width="22.5703125" bestFit="1" customWidth="1"/>
    <col min="3" max="3" width="16.42578125" bestFit="1" customWidth="1"/>
    <col min="4" max="4" width="11.42578125" bestFit="1" customWidth="1"/>
    <col min="5" max="5" width="18" bestFit="1" customWidth="1"/>
    <col min="6" max="6" width="13.5703125" bestFit="1" customWidth="1"/>
    <col min="7" max="7" width="10.85546875" bestFit="1" customWidth="1"/>
    <col min="8" max="8" width="10.42578125" bestFit="1" customWidth="1"/>
    <col min="9" max="9" width="9.5703125" bestFit="1" customWidth="1"/>
    <col min="10" max="10" width="11.5703125" bestFit="1" customWidth="1"/>
    <col min="11" max="11" width="14.140625" bestFit="1" customWidth="1"/>
    <col min="12" max="12" width="15.140625" bestFit="1" customWidth="1"/>
    <col min="13" max="13" width="27.140625" bestFit="1" customWidth="1"/>
    <col min="14" max="14" width="21.85546875" bestFit="1" customWidth="1"/>
  </cols>
  <sheetData>
    <row r="1" spans="1:16" ht="13.5" thickBot="1">
      <c r="A1" s="294" t="s">
        <v>311</v>
      </c>
      <c r="B1" s="294" t="s">
        <v>312</v>
      </c>
      <c r="C1" s="334" t="s">
        <v>303</v>
      </c>
      <c r="D1" s="331" t="s">
        <v>112</v>
      </c>
      <c r="E1" s="332" t="s">
        <v>90</v>
      </c>
      <c r="F1" s="333" t="s">
        <v>304</v>
      </c>
      <c r="G1" s="332" t="s">
        <v>305</v>
      </c>
      <c r="H1" s="333" t="s">
        <v>306</v>
      </c>
      <c r="I1" s="332" t="s">
        <v>307</v>
      </c>
      <c r="J1" s="333" t="s">
        <v>308</v>
      </c>
      <c r="K1" s="332" t="s">
        <v>309</v>
      </c>
      <c r="L1" s="333" t="s">
        <v>310</v>
      </c>
      <c r="M1" s="333" t="s">
        <v>313</v>
      </c>
      <c r="N1" s="331" t="s">
        <v>41</v>
      </c>
    </row>
    <row r="2" spans="1:16" ht="13.5" thickBot="1">
      <c r="A2" s="335" t="s">
        <v>320</v>
      </c>
      <c r="B2" s="335" t="s">
        <v>321</v>
      </c>
      <c r="C2" s="336" t="s">
        <v>322</v>
      </c>
      <c r="D2" s="336" t="s">
        <v>323</v>
      </c>
      <c r="E2" s="336" t="s">
        <v>324</v>
      </c>
      <c r="F2" s="337">
        <v>44569</v>
      </c>
      <c r="G2" s="338" t="s">
        <v>325</v>
      </c>
      <c r="H2" s="335">
        <v>40</v>
      </c>
      <c r="I2" s="335">
        <v>15742400</v>
      </c>
      <c r="J2" s="339">
        <v>200000</v>
      </c>
      <c r="K2" s="340">
        <f>Table1[[#This Row],[Price]]/Table1[[#This Row],[Acres]]</f>
        <v>5000</v>
      </c>
      <c r="L2" s="340">
        <f>Table1[[#This Row],[Price]]/Table1[[#This Row],[Sq ft]]</f>
        <v>1.270454314462852E-2</v>
      </c>
      <c r="M2" s="340" t="s">
        <v>326</v>
      </c>
      <c r="N2" s="335" t="s">
        <v>327</v>
      </c>
    </row>
    <row r="3" spans="1:16" ht="13.5" thickBot="1">
      <c r="A3" s="335"/>
      <c r="B3" s="335"/>
      <c r="C3" s="336"/>
      <c r="D3" s="336"/>
      <c r="E3" s="336"/>
      <c r="F3" s="337"/>
      <c r="G3" s="338"/>
      <c r="H3" s="335"/>
      <c r="I3" s="335"/>
      <c r="J3" s="340"/>
      <c r="K3" s="340" t="e">
        <f>Table1[[#This Row],[Price]]/Table1[[#This Row],[Acres]]</f>
        <v>#DIV/0!</v>
      </c>
      <c r="L3" s="340" t="e">
        <f>Table1[[#This Row],[Price]]/Table1[[#This Row],[Sq ft]]</f>
        <v>#DIV/0!</v>
      </c>
      <c r="M3" s="340"/>
      <c r="N3" s="335"/>
    </row>
    <row r="4" spans="1:16" ht="13.5" thickBot="1">
      <c r="A4" s="335"/>
      <c r="B4" s="335"/>
      <c r="C4" s="336"/>
      <c r="D4" s="336"/>
      <c r="E4" s="336"/>
      <c r="F4" s="337"/>
      <c r="G4" s="338"/>
      <c r="H4" s="335"/>
      <c r="I4" s="335"/>
      <c r="J4" s="340"/>
      <c r="K4" s="340" t="e">
        <f>Table1[[#This Row],[Price]]/Table1[[#This Row],[Acres]]</f>
        <v>#DIV/0!</v>
      </c>
      <c r="L4" s="340" t="e">
        <f>Table1[[#This Row],[Price]]/Table1[[#This Row],[Sq ft]]</f>
        <v>#DIV/0!</v>
      </c>
      <c r="M4" s="340"/>
      <c r="N4" s="335"/>
    </row>
    <row r="5" spans="1:16" ht="13.5" thickBot="1">
      <c r="A5" s="335"/>
      <c r="B5" s="335"/>
      <c r="C5" s="336"/>
      <c r="D5" s="336"/>
      <c r="E5" s="336"/>
      <c r="F5" s="337"/>
      <c r="G5" s="336"/>
      <c r="H5" s="335"/>
      <c r="I5" s="335"/>
      <c r="J5" s="340"/>
      <c r="K5" s="340" t="e">
        <f>Table1[[#This Row],[Price]]/Table1[[#This Row],[Acres]]</f>
        <v>#DIV/0!</v>
      </c>
      <c r="L5" s="340" t="e">
        <f>Table1[[#This Row],[Price]]/Table1[[#This Row],[Sq ft]]</f>
        <v>#DIV/0!</v>
      </c>
      <c r="M5" s="340"/>
      <c r="N5" s="335"/>
      <c r="P5" s="278"/>
    </row>
    <row r="6" spans="1:16" ht="13.5" thickBot="1">
      <c r="A6" s="335"/>
      <c r="B6" s="335"/>
      <c r="C6" s="336"/>
      <c r="D6" s="336"/>
      <c r="E6" s="336"/>
      <c r="F6" s="337"/>
      <c r="G6" s="338"/>
      <c r="H6" s="335"/>
      <c r="I6" s="335"/>
      <c r="J6" s="340"/>
      <c r="K6" s="340" t="e">
        <f>Table1[[#This Row],[Price]]/Table1[[#This Row],[Acres]]</f>
        <v>#DIV/0!</v>
      </c>
      <c r="L6" s="340" t="e">
        <f>Table1[[#This Row],[Price]]/Table1[[#This Row],[Sq ft]]</f>
        <v>#DIV/0!</v>
      </c>
      <c r="M6" s="340"/>
      <c r="N6" s="335"/>
    </row>
    <row r="7" spans="1:16" ht="13.5" thickBot="1">
      <c r="A7" s="335"/>
      <c r="B7" s="335"/>
      <c r="C7" s="336"/>
      <c r="D7" s="336"/>
      <c r="E7" s="336"/>
      <c r="F7" s="337"/>
      <c r="G7" s="335"/>
      <c r="H7" s="335"/>
      <c r="I7" s="335"/>
      <c r="J7" s="340"/>
      <c r="K7" s="340" t="e">
        <f>Table1[[#This Row],[Price]]/Table1[[#This Row],[Acres]]</f>
        <v>#DIV/0!</v>
      </c>
      <c r="L7" s="340" t="e">
        <f>Table1[[#This Row],[Price]]/Table1[[#This Row],[Sq ft]]</f>
        <v>#DIV/0!</v>
      </c>
      <c r="M7" s="340"/>
      <c r="N7" s="335"/>
    </row>
    <row r="8" spans="1:16" ht="13.5" thickBot="1">
      <c r="A8" s="335"/>
      <c r="B8" s="335"/>
      <c r="C8" s="336"/>
      <c r="D8" s="336"/>
      <c r="E8" s="336"/>
      <c r="F8" s="337"/>
      <c r="G8" s="336"/>
      <c r="H8" s="336"/>
      <c r="I8" s="335"/>
      <c r="J8" s="340"/>
      <c r="K8" s="340" t="e">
        <f>Table1[[#This Row],[Price]]/Table1[[#This Row],[Acres]]</f>
        <v>#DIV/0!</v>
      </c>
      <c r="L8" s="340" t="e">
        <f>Table1[[#This Row],[Price]]/Table1[[#This Row],[Sq ft]]</f>
        <v>#DIV/0!</v>
      </c>
      <c r="M8" s="340"/>
      <c r="N8" s="335"/>
    </row>
    <row r="9" spans="1:16" ht="13.5" thickBot="1">
      <c r="A9" s="335"/>
      <c r="B9" s="335"/>
      <c r="C9" s="336"/>
      <c r="D9" s="336"/>
      <c r="E9" s="336"/>
      <c r="F9" s="337"/>
      <c r="G9" s="335"/>
      <c r="H9" s="336"/>
      <c r="I9" s="335"/>
      <c r="J9" s="340"/>
      <c r="K9" s="340" t="e">
        <f>Table1[[#This Row],[Price]]/Table1[[#This Row],[Acres]]</f>
        <v>#DIV/0!</v>
      </c>
      <c r="L9" s="340" t="e">
        <f>Table1[[#This Row],[Price]]/Table1[[#This Row],[Sq ft]]</f>
        <v>#DIV/0!</v>
      </c>
      <c r="M9" s="340"/>
      <c r="N9" s="335"/>
    </row>
    <row r="10" spans="1:16" ht="13.5" thickBot="1">
      <c r="A10" s="335"/>
      <c r="B10" s="335"/>
      <c r="C10" s="336"/>
      <c r="D10" s="336"/>
      <c r="E10" s="336"/>
      <c r="F10" s="337"/>
      <c r="G10" s="335"/>
      <c r="H10" s="336"/>
      <c r="I10" s="335"/>
      <c r="J10" s="340"/>
      <c r="K10" s="340" t="e">
        <f>Table1[[#This Row],[Price]]/Table1[[#This Row],[Acres]]</f>
        <v>#DIV/0!</v>
      </c>
      <c r="L10" s="340" t="e">
        <f>Table1[[#This Row],[Price]]/Table1[[#This Row],[Sq ft]]</f>
        <v>#DIV/0!</v>
      </c>
      <c r="M10" s="340"/>
      <c r="N10" s="335"/>
    </row>
    <row r="11" spans="1:16" ht="13.5" thickBot="1">
      <c r="A11" s="335"/>
      <c r="B11" s="335"/>
      <c r="C11" s="336"/>
      <c r="D11" s="336"/>
      <c r="E11" s="336"/>
      <c r="F11" s="337"/>
      <c r="G11" s="338"/>
      <c r="H11" s="335"/>
      <c r="I11" s="335"/>
      <c r="J11" s="340"/>
      <c r="K11" s="340" t="e">
        <f>Table1[[#This Row],[Price]]/Table1[[#This Row],[Acres]]</f>
        <v>#DIV/0!</v>
      </c>
      <c r="L11" s="340" t="e">
        <f>Table1[[#This Row],[Price]]/Table1[[#This Row],[Sq ft]]</f>
        <v>#DIV/0!</v>
      </c>
      <c r="M11" s="340"/>
      <c r="N11" s="335"/>
    </row>
    <row r="12" spans="1:16" ht="13.5" thickBot="1">
      <c r="A12" s="335"/>
      <c r="B12" s="335"/>
      <c r="C12" s="336"/>
      <c r="D12" s="336"/>
      <c r="E12" s="336"/>
      <c r="F12" s="337"/>
      <c r="G12" s="338"/>
      <c r="H12" s="335"/>
      <c r="I12" s="335"/>
      <c r="J12" s="340"/>
      <c r="K12" s="340" t="e">
        <f>Table1[[#This Row],[Price]]/Table1[[#This Row],[Acres]]</f>
        <v>#DIV/0!</v>
      </c>
      <c r="L12" s="340" t="e">
        <f>Table1[[#This Row],[Price]]/Table1[[#This Row],[Sq ft]]</f>
        <v>#DIV/0!</v>
      </c>
      <c r="M12" s="340"/>
      <c r="N12" s="335"/>
    </row>
    <row r="13" spans="1:16" ht="13.5" thickBot="1">
      <c r="A13" s="335"/>
      <c r="B13" s="335"/>
      <c r="C13" s="336"/>
      <c r="D13" s="336"/>
      <c r="E13" s="336"/>
      <c r="F13" s="337"/>
      <c r="G13" s="335"/>
      <c r="H13" s="336"/>
      <c r="I13" s="335"/>
      <c r="J13" s="340"/>
      <c r="K13" s="340" t="e">
        <f>Table1[[#This Row],[Price]]/Table1[[#This Row],[Acres]]</f>
        <v>#DIV/0!</v>
      </c>
      <c r="L13" s="340" t="e">
        <f>Table1[[#This Row],[Price]]/Table1[[#This Row],[Sq ft]]</f>
        <v>#DIV/0!</v>
      </c>
      <c r="M13" s="340"/>
      <c r="N13" s="335"/>
    </row>
    <row r="14" spans="1:16" ht="13.5" thickBot="1">
      <c r="A14" s="335"/>
      <c r="B14" s="335"/>
      <c r="C14" s="336"/>
      <c r="D14" s="336"/>
      <c r="E14" s="336"/>
      <c r="F14" s="337"/>
      <c r="G14" s="336"/>
      <c r="H14" s="336"/>
      <c r="I14" s="335"/>
      <c r="J14" s="340"/>
      <c r="K14" s="340" t="e">
        <f>Table1[[#This Row],[Price]]/Table1[[#This Row],[Acres]]</f>
        <v>#DIV/0!</v>
      </c>
      <c r="L14" s="340" t="e">
        <f>Table1[[#This Row],[Price]]/Table1[[#This Row],[Sq ft]]</f>
        <v>#DIV/0!</v>
      </c>
      <c r="M14" s="340"/>
      <c r="N14" s="335"/>
    </row>
    <row r="15" spans="1:16" ht="13.5" thickBot="1">
      <c r="A15" s="335"/>
      <c r="B15" s="335"/>
      <c r="C15" s="336"/>
      <c r="D15" s="336"/>
      <c r="E15" s="336"/>
      <c r="F15" s="337"/>
      <c r="G15" s="335"/>
      <c r="H15" s="336"/>
      <c r="I15" s="335"/>
      <c r="J15" s="340"/>
      <c r="K15" s="340" t="e">
        <f>Table1[[#This Row],[Price]]/Table1[[#This Row],[Acres]]</f>
        <v>#DIV/0!</v>
      </c>
      <c r="L15" s="340" t="e">
        <f>Table1[[#This Row],[Price]]/Table1[[#This Row],[Sq ft]]</f>
        <v>#DIV/0!</v>
      </c>
      <c r="M15" s="340"/>
      <c r="N15" s="335"/>
    </row>
    <row r="16" spans="1:16" ht="13.5" thickBot="1">
      <c r="A16" s="335"/>
      <c r="B16" s="335"/>
      <c r="C16" s="336"/>
      <c r="D16" s="336"/>
      <c r="E16" s="336"/>
      <c r="F16" s="337"/>
      <c r="G16" s="335"/>
      <c r="H16" s="336"/>
      <c r="I16" s="335"/>
      <c r="J16" s="340"/>
      <c r="K16" s="340" t="e">
        <f>Table1[[#This Row],[Price]]/Table1[[#This Row],[Acres]]</f>
        <v>#DIV/0!</v>
      </c>
      <c r="L16" s="340" t="e">
        <f>Table1[[#This Row],[Price]]/Table1[[#This Row],[Sq ft]]</f>
        <v>#DIV/0!</v>
      </c>
      <c r="M16" s="340"/>
      <c r="N16" s="335"/>
    </row>
    <row r="17" spans="1:16" ht="13.5" thickBot="1">
      <c r="A17" s="335"/>
      <c r="B17" s="335"/>
      <c r="C17" s="336"/>
      <c r="D17" s="336"/>
      <c r="E17" s="336"/>
      <c r="F17" s="337"/>
      <c r="G17" s="335"/>
      <c r="H17" s="336"/>
      <c r="I17" s="335"/>
      <c r="J17" s="340"/>
      <c r="K17" s="340" t="e">
        <f>Table1[[#This Row],[Price]]/Table1[[#This Row],[Acres]]</f>
        <v>#DIV/0!</v>
      </c>
      <c r="L17" s="340" t="e">
        <f>Table1[[#This Row],[Price]]/Table1[[#This Row],[Sq ft]]</f>
        <v>#DIV/0!</v>
      </c>
      <c r="M17" s="340"/>
      <c r="N17" s="335"/>
    </row>
    <row r="18" spans="1:16" ht="13.5" thickBot="1">
      <c r="A18" s="335"/>
      <c r="B18" s="335"/>
      <c r="C18" s="336"/>
      <c r="D18" s="336"/>
      <c r="E18" s="336"/>
      <c r="F18" s="337"/>
      <c r="G18" s="338"/>
      <c r="H18" s="335"/>
      <c r="I18" s="335"/>
      <c r="J18" s="340"/>
      <c r="K18" s="340" t="e">
        <f>Table1[[#This Row],[Price]]/Table1[[#This Row],[Acres]]</f>
        <v>#DIV/0!</v>
      </c>
      <c r="L18" s="340" t="e">
        <f>Table1[[#This Row],[Price]]/Table1[[#This Row],[Sq ft]]</f>
        <v>#DIV/0!</v>
      </c>
      <c r="M18" s="340"/>
      <c r="N18" s="335"/>
      <c r="P18" s="278"/>
    </row>
    <row r="19" spans="1:16" ht="13.5" thickBot="1">
      <c r="A19" s="335"/>
      <c r="B19" s="335"/>
      <c r="C19" s="336"/>
      <c r="D19" s="336"/>
      <c r="E19" s="336"/>
      <c r="F19" s="337"/>
      <c r="G19" s="335"/>
      <c r="H19" s="336"/>
      <c r="I19" s="335"/>
      <c r="J19" s="340"/>
      <c r="K19" s="340" t="e">
        <f>Table1[[#This Row],[Price]]/Table1[[#This Row],[Acres]]</f>
        <v>#DIV/0!</v>
      </c>
      <c r="L19" s="340" t="e">
        <f>Table1[[#This Row],[Price]]/Table1[[#This Row],[Sq ft]]</f>
        <v>#DIV/0!</v>
      </c>
      <c r="M19" s="340"/>
      <c r="N19" s="335"/>
    </row>
    <row r="20" spans="1:16" ht="13.5" thickBot="1">
      <c r="A20" s="335"/>
      <c r="B20" s="335"/>
      <c r="C20" s="336"/>
      <c r="D20" s="336"/>
      <c r="E20" s="336"/>
      <c r="F20" s="337"/>
      <c r="G20" s="335"/>
      <c r="H20" s="335"/>
      <c r="I20" s="335"/>
      <c r="J20" s="335"/>
      <c r="K20" s="340" t="e">
        <f>Table1[[#This Row],[Price]]/Table1[[#This Row],[Acres]]</f>
        <v>#DIV/0!</v>
      </c>
      <c r="L20" s="340" t="e">
        <f>Table1[[#This Row],[Price]]/Table1[[#This Row],[Sq ft]]</f>
        <v>#DIV/0!</v>
      </c>
      <c r="M20" s="340"/>
      <c r="N20" s="335"/>
    </row>
    <row r="21" spans="1:16" ht="13.5" thickBot="1">
      <c r="A21" s="335"/>
      <c r="B21" s="335"/>
      <c r="C21" s="336"/>
      <c r="D21" s="336"/>
      <c r="E21" s="336"/>
      <c r="F21" s="337"/>
      <c r="G21" s="335"/>
      <c r="H21" s="336"/>
      <c r="I21" s="335"/>
      <c r="J21" s="340"/>
      <c r="K21" s="340" t="e">
        <f>Table1[[#This Row],[Price]]/Table1[[#This Row],[Acres]]</f>
        <v>#DIV/0!</v>
      </c>
      <c r="L21" s="340" t="e">
        <f>Table1[[#This Row],[Price]]/Table1[[#This Row],[Sq ft]]</f>
        <v>#DIV/0!</v>
      </c>
      <c r="M21" s="340"/>
      <c r="N21" s="335"/>
    </row>
    <row r="22" spans="1:16" ht="13.5" thickBot="1">
      <c r="A22" s="335"/>
      <c r="B22" s="335"/>
      <c r="C22" s="336"/>
      <c r="D22" s="336"/>
      <c r="E22" s="336"/>
      <c r="F22" s="337"/>
      <c r="G22" s="335"/>
      <c r="H22" s="336"/>
      <c r="I22" s="335"/>
      <c r="J22" s="340"/>
      <c r="K22" s="340" t="e">
        <f>Table1[[#This Row],[Price]]/Table1[[#This Row],[Acres]]</f>
        <v>#DIV/0!</v>
      </c>
      <c r="L22" s="340" t="e">
        <f>Table1[[#This Row],[Price]]/Table1[[#This Row],[Sq ft]]</f>
        <v>#DIV/0!</v>
      </c>
      <c r="M22" s="340"/>
      <c r="N22" s="335"/>
    </row>
    <row r="23" spans="1:16" ht="13.5" thickBot="1">
      <c r="A23" s="335"/>
      <c r="B23" s="335"/>
      <c r="C23" s="336"/>
      <c r="D23" s="336"/>
      <c r="E23" s="336"/>
      <c r="F23" s="337"/>
      <c r="G23" s="335"/>
      <c r="H23" s="336"/>
      <c r="I23" s="335"/>
      <c r="J23" s="340"/>
      <c r="K23" s="340" t="e">
        <f>Table1[[#This Row],[Price]]/Table1[[#This Row],[Acres]]</f>
        <v>#DIV/0!</v>
      </c>
      <c r="L23" s="340" t="e">
        <f>Table1[[#This Row],[Price]]/Table1[[#This Row],[Sq ft]]</f>
        <v>#DIV/0!</v>
      </c>
      <c r="M23" s="340"/>
      <c r="N23" s="335"/>
    </row>
    <row r="24" spans="1:16" ht="13.5" thickBot="1">
      <c r="A24" s="335"/>
      <c r="B24" s="335"/>
      <c r="C24" s="336"/>
      <c r="D24" s="336"/>
      <c r="E24" s="336"/>
      <c r="F24" s="337"/>
      <c r="G24" s="336"/>
      <c r="H24" s="336"/>
      <c r="I24" s="335"/>
      <c r="J24" s="340"/>
      <c r="K24" s="340" t="e">
        <f>Table1[[#This Row],[Price]]/Table1[[#This Row],[Acres]]</f>
        <v>#DIV/0!</v>
      </c>
      <c r="L24" s="340" t="e">
        <f>Table1[[#This Row],[Price]]/Table1[[#This Row],[Sq ft]]</f>
        <v>#DIV/0!</v>
      </c>
      <c r="M24" s="340"/>
      <c r="N24" s="335"/>
    </row>
    <row r="25" spans="1:16" ht="13.5" thickBot="1">
      <c r="A25" s="335"/>
      <c r="B25" s="335"/>
      <c r="C25" s="336"/>
      <c r="D25" s="336"/>
      <c r="E25" s="336"/>
      <c r="F25" s="337"/>
      <c r="G25" s="335"/>
      <c r="H25" s="336"/>
      <c r="I25" s="335"/>
      <c r="J25" s="340"/>
      <c r="K25" s="340" t="e">
        <f>Table1[[#This Row],[Price]]/Table1[[#This Row],[Acres]]</f>
        <v>#DIV/0!</v>
      </c>
      <c r="L25" s="340" t="e">
        <f>Table1[[#This Row],[Price]]/Table1[[#This Row],[Sq ft]]</f>
        <v>#DIV/0!</v>
      </c>
      <c r="M25" s="340"/>
      <c r="N25" s="335"/>
    </row>
    <row r="26" spans="1:16" ht="13.5" thickBot="1">
      <c r="A26" s="335"/>
      <c r="B26" s="335"/>
      <c r="C26" s="336"/>
      <c r="D26" s="336"/>
      <c r="E26" s="336"/>
      <c r="F26" s="337"/>
      <c r="G26" s="335"/>
      <c r="H26" s="336"/>
      <c r="I26" s="335"/>
      <c r="J26" s="340"/>
      <c r="K26" s="340" t="e">
        <f>Table1[[#This Row],[Price]]/Table1[[#This Row],[Acres]]</f>
        <v>#DIV/0!</v>
      </c>
      <c r="L26" s="340" t="e">
        <f>Table1[[#This Row],[Price]]/Table1[[#This Row],[Sq ft]]</f>
        <v>#DIV/0!</v>
      </c>
      <c r="M26" s="340"/>
      <c r="N26" s="335"/>
    </row>
    <row r="27" spans="1:16" ht="13.5" thickBot="1">
      <c r="A27" s="335"/>
      <c r="B27" s="335"/>
      <c r="C27" s="336"/>
      <c r="D27" s="336"/>
      <c r="E27" s="336"/>
      <c r="F27" s="337"/>
      <c r="G27" s="335"/>
      <c r="H27" s="336"/>
      <c r="I27" s="335"/>
      <c r="J27" s="340"/>
      <c r="K27" s="340" t="e">
        <f>Table1[[#This Row],[Price]]/Table1[[#This Row],[Acres]]</f>
        <v>#DIV/0!</v>
      </c>
      <c r="L27" s="340" t="e">
        <f>Table1[[#This Row],[Price]]/Table1[[#This Row],[Sq ft]]</f>
        <v>#DIV/0!</v>
      </c>
      <c r="M27" s="340"/>
      <c r="N27" s="335"/>
      <c r="P27" s="278"/>
    </row>
    <row r="28" spans="1:16" ht="13.5" thickBot="1">
      <c r="A28" s="335"/>
      <c r="B28" s="335"/>
      <c r="C28" s="336"/>
      <c r="D28" s="336"/>
      <c r="E28" s="336"/>
      <c r="F28" s="337"/>
      <c r="G28" s="335"/>
      <c r="H28" s="336"/>
      <c r="I28" s="335"/>
      <c r="J28" s="340"/>
      <c r="K28" s="340" t="e">
        <f>Table1[[#This Row],[Price]]/Table1[[#This Row],[Acres]]</f>
        <v>#DIV/0!</v>
      </c>
      <c r="L28" s="340" t="e">
        <f>Table1[[#This Row],[Price]]/Table1[[#This Row],[Sq ft]]</f>
        <v>#DIV/0!</v>
      </c>
      <c r="M28" s="340"/>
      <c r="N28" s="335"/>
    </row>
    <row r="29" spans="1:16" ht="13.5" thickBot="1">
      <c r="A29" s="335"/>
      <c r="B29" s="335"/>
      <c r="C29" s="336"/>
      <c r="D29" s="336"/>
      <c r="E29" s="336"/>
      <c r="F29" s="337"/>
      <c r="G29" s="338"/>
      <c r="H29" s="335"/>
      <c r="I29" s="335"/>
      <c r="J29" s="340"/>
      <c r="K29" s="340" t="e">
        <f>Table1[[#This Row],[Price]]/Table1[[#This Row],[Acres]]</f>
        <v>#DIV/0!</v>
      </c>
      <c r="L29" s="340" t="e">
        <f>Table1[[#This Row],[Price]]/Table1[[#This Row],[Sq ft]]</f>
        <v>#DIV/0!</v>
      </c>
      <c r="M29" s="340"/>
      <c r="N29" s="335"/>
    </row>
    <row r="30" spans="1:16" ht="13.5" thickBot="1">
      <c r="A30" s="335"/>
      <c r="B30" s="335"/>
      <c r="C30" s="336"/>
      <c r="D30" s="336"/>
      <c r="E30" s="336"/>
      <c r="F30" s="337"/>
      <c r="G30" s="335"/>
      <c r="H30" s="335"/>
      <c r="I30" s="335"/>
      <c r="J30" s="340"/>
      <c r="K30" s="340" t="e">
        <f>Table1[[#This Row],[Price]]/Table1[[#This Row],[Acres]]</f>
        <v>#DIV/0!</v>
      </c>
      <c r="L30" s="340" t="e">
        <f>Table1[[#This Row],[Price]]/Table1[[#This Row],[Sq ft]]</f>
        <v>#DIV/0!</v>
      </c>
      <c r="M30" s="340"/>
      <c r="N30" s="336"/>
    </row>
    <row r="31" spans="1:16" ht="13.5" thickBot="1">
      <c r="A31" s="335"/>
      <c r="B31" s="335"/>
      <c r="C31" s="336"/>
      <c r="D31" s="336"/>
      <c r="E31" s="336"/>
      <c r="F31" s="337"/>
      <c r="G31" s="335"/>
      <c r="H31" s="336"/>
      <c r="I31" s="335"/>
      <c r="J31" s="340"/>
      <c r="K31" s="340" t="e">
        <f>Table1[[#This Row],[Price]]/Table1[[#This Row],[Acres]]</f>
        <v>#DIV/0!</v>
      </c>
      <c r="L31" s="340" t="e">
        <f>Table1[[#This Row],[Price]]/Table1[[#This Row],[Sq ft]]</f>
        <v>#DIV/0!</v>
      </c>
      <c r="M31" s="340"/>
      <c r="N31" s="335"/>
    </row>
    <row r="32" spans="1:16" ht="13.5" thickBot="1">
      <c r="A32" s="335"/>
      <c r="B32" s="335"/>
      <c r="C32" s="336"/>
      <c r="D32" s="336"/>
      <c r="E32" s="336"/>
      <c r="F32" s="337"/>
      <c r="G32" s="335"/>
      <c r="H32" s="336"/>
      <c r="I32" s="335"/>
      <c r="J32" s="340"/>
      <c r="K32" s="340" t="e">
        <f>Table1[[#This Row],[Price]]/Table1[[#This Row],[Acres]]</f>
        <v>#DIV/0!</v>
      </c>
      <c r="L32" s="340" t="e">
        <f>Table1[[#This Row],[Price]]/Table1[[#This Row],[Sq ft]]</f>
        <v>#DIV/0!</v>
      </c>
      <c r="M32" s="340"/>
      <c r="N32" s="335"/>
    </row>
    <row r="33" spans="1:14" ht="13.5" thickBot="1">
      <c r="A33" s="335"/>
      <c r="B33" s="335"/>
      <c r="C33" s="336"/>
      <c r="D33" s="336"/>
      <c r="E33" s="336"/>
      <c r="F33" s="337"/>
      <c r="G33" s="335"/>
      <c r="H33" s="335"/>
      <c r="I33" s="335"/>
      <c r="J33" s="340"/>
      <c r="K33" s="340" t="e">
        <f>Table1[[#This Row],[Price]]/Table1[[#This Row],[Acres]]</f>
        <v>#DIV/0!</v>
      </c>
      <c r="L33" s="340" t="e">
        <f>Table1[[#This Row],[Price]]/Table1[[#This Row],[Sq ft]]</f>
        <v>#DIV/0!</v>
      </c>
      <c r="M33" s="340"/>
      <c r="N33" s="336"/>
    </row>
    <row r="34" spans="1:14" ht="13.5" thickBot="1">
      <c r="A34" s="335"/>
      <c r="B34" s="335"/>
      <c r="C34" s="336"/>
      <c r="D34" s="336"/>
      <c r="E34" s="336"/>
      <c r="F34" s="337"/>
      <c r="G34" s="335"/>
      <c r="H34" s="335"/>
      <c r="I34" s="335"/>
      <c r="J34" s="340"/>
      <c r="K34" s="340" t="e">
        <f>Table1[[#This Row],[Price]]/Table1[[#This Row],[Acres]]</f>
        <v>#DIV/0!</v>
      </c>
      <c r="L34" s="340" t="e">
        <f>Table1[[#This Row],[Price]]/Table1[[#This Row],[Sq ft]]</f>
        <v>#DIV/0!</v>
      </c>
      <c r="M34" s="340"/>
      <c r="N34" s="336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W213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ColWidth="0" defaultRowHeight="12.75" zeroHeight="1"/>
  <cols>
    <col min="1" max="1" width="21.42578125" style="101" customWidth="1"/>
    <col min="2" max="2" width="24.42578125" style="101" bestFit="1" customWidth="1"/>
    <col min="3" max="5" width="16.42578125" style="101" customWidth="1"/>
    <col min="6" max="6" width="18.5703125" style="101" customWidth="1"/>
    <col min="7" max="7" width="16.5703125" style="102" bestFit="1" customWidth="1"/>
    <col min="8" max="8" width="18.5703125" style="101" customWidth="1"/>
    <col min="9" max="9" width="26.42578125" style="102" customWidth="1"/>
    <col min="10" max="10" width="18.5703125" style="101" customWidth="1"/>
    <col min="11" max="11" width="17.140625" style="102" bestFit="1" customWidth="1"/>
    <col min="12" max="12" width="18.5703125" style="101" customWidth="1"/>
    <col min="13" max="13" width="16.85546875" style="102" bestFit="1" customWidth="1"/>
    <col min="14" max="14" width="16.5703125" style="103" customWidth="1"/>
    <col min="15" max="15" width="15.5703125" style="103" customWidth="1"/>
    <col min="16" max="16" width="18" style="99" bestFit="1" customWidth="1"/>
    <col min="17" max="17" width="18" style="99" customWidth="1"/>
    <col min="18" max="18" width="15.5703125" style="104" customWidth="1"/>
    <col min="19" max="19" width="19" style="104" bestFit="1" customWidth="1"/>
    <col min="20" max="20" width="19" style="104" customWidth="1"/>
    <col min="21" max="24" width="16.140625" style="104" customWidth="1"/>
    <col min="25" max="25" width="19.85546875" style="100" customWidth="1"/>
    <col min="26" max="26" width="18.85546875" style="103" bestFit="1" customWidth="1"/>
    <col min="27" max="27" width="18.85546875" style="103" customWidth="1"/>
    <col min="28" max="28" width="18.42578125" style="103" bestFit="1" customWidth="1"/>
    <col min="29" max="30" width="30.85546875" style="103" customWidth="1"/>
    <col min="31" max="31" width="40.42578125" style="176" bestFit="1" customWidth="1"/>
    <col min="32" max="32" width="18.85546875" style="102" bestFit="1" customWidth="1"/>
    <col min="33" max="33" width="17.42578125" style="102" customWidth="1"/>
    <col min="34" max="34" width="20.85546875" style="102" bestFit="1" customWidth="1"/>
    <col min="35" max="35" width="17" style="102" customWidth="1"/>
    <col min="36" max="36" width="17.140625" style="102" bestFit="1" customWidth="1"/>
    <col min="37" max="37" width="18.85546875" style="102" bestFit="1" customWidth="1"/>
    <col min="38" max="38" width="21.140625" style="102" bestFit="1" customWidth="1"/>
    <col min="39" max="39" width="14.42578125" style="102" bestFit="1" customWidth="1"/>
    <col min="40" max="42" width="14.42578125" style="102" customWidth="1"/>
    <col min="43" max="43" width="12.5703125" style="102" customWidth="1"/>
    <col min="44" max="44" width="9.140625" style="101" customWidth="1"/>
    <col min="45" max="49" width="0" style="101" hidden="1" customWidth="1"/>
    <col min="50" max="16384" width="9.140625" style="101" hidden="1"/>
  </cols>
  <sheetData>
    <row r="1" spans="1:43" ht="15.75">
      <c r="A1" s="46" t="s">
        <v>3</v>
      </c>
      <c r="B1" s="241" t="str">
        <f>'Project Wide Estimates'!C3</f>
        <v>123-45-6789</v>
      </c>
      <c r="C1" s="238"/>
      <c r="D1" s="238"/>
      <c r="E1" s="238"/>
      <c r="F1" s="238"/>
      <c r="G1" s="238"/>
      <c r="H1" s="102"/>
      <c r="I1" s="101"/>
      <c r="J1" s="102"/>
      <c r="K1" s="101"/>
      <c r="L1" s="102"/>
      <c r="M1" s="103"/>
      <c r="O1" s="99"/>
      <c r="P1" s="104"/>
      <c r="Q1" s="104"/>
      <c r="X1" s="100"/>
      <c r="Y1" s="103"/>
      <c r="AD1" s="176"/>
      <c r="AE1" s="102"/>
      <c r="AQ1" s="101"/>
    </row>
    <row r="2" spans="1:43" ht="15.75">
      <c r="A2" s="46" t="s">
        <v>5</v>
      </c>
      <c r="B2" s="241" t="str">
        <f>'Project Wide Estimates'!C4</f>
        <v>Smith Street to County Line</v>
      </c>
      <c r="C2" s="238"/>
      <c r="D2" s="238"/>
      <c r="E2" s="238"/>
      <c r="F2" s="239" t="s">
        <v>6</v>
      </c>
      <c r="G2" s="261">
        <f>'Project Wide Estimates'!J4</f>
        <v>44013</v>
      </c>
      <c r="H2" s="102"/>
      <c r="I2" s="101"/>
      <c r="J2" s="102"/>
      <c r="K2" s="101"/>
      <c r="L2" s="102"/>
      <c r="M2" s="103"/>
      <c r="O2" s="99"/>
      <c r="P2" s="104"/>
      <c r="Q2" s="104"/>
      <c r="X2" s="100"/>
      <c r="Y2" s="103"/>
      <c r="AD2" s="176"/>
      <c r="AE2" s="102"/>
      <c r="AQ2" s="101"/>
    </row>
    <row r="3" spans="1:43" ht="15.75">
      <c r="A3" s="46" t="s">
        <v>7</v>
      </c>
      <c r="B3" s="241" t="str">
        <f>'Project Wide Estimates'!C5</f>
        <v>STH 123</v>
      </c>
      <c r="C3" s="238"/>
      <c r="D3" s="238"/>
      <c r="E3" s="238"/>
      <c r="F3" s="239"/>
      <c r="G3" s="238"/>
      <c r="H3" s="102"/>
      <c r="I3" s="101"/>
      <c r="J3" s="102"/>
      <c r="K3" s="101"/>
      <c r="L3" s="102"/>
      <c r="M3" s="103"/>
      <c r="O3" s="99"/>
      <c r="P3" s="104"/>
      <c r="Q3" s="104"/>
      <c r="X3" s="100"/>
      <c r="Y3" s="103"/>
      <c r="AD3" s="176"/>
      <c r="AE3" s="102"/>
      <c r="AQ3" s="101"/>
    </row>
    <row r="4" spans="1:43" ht="15.75">
      <c r="A4" s="46" t="s">
        <v>8</v>
      </c>
      <c r="B4" s="241" t="str">
        <f>'Project Wide Estimates'!C6</f>
        <v>Acme</v>
      </c>
      <c r="C4" s="238"/>
      <c r="D4" s="238"/>
      <c r="E4" s="238"/>
      <c r="F4" s="240" t="s">
        <v>74</v>
      </c>
      <c r="G4" s="261" t="str">
        <f>'Project Wide Estimates'!J6</f>
        <v>JPA</v>
      </c>
      <c r="H4" s="102"/>
      <c r="I4" s="101"/>
      <c r="J4" s="102"/>
      <c r="K4" s="101"/>
      <c r="L4" s="102"/>
      <c r="M4" s="103"/>
      <c r="O4" s="99"/>
      <c r="P4" s="104"/>
      <c r="Q4" s="104"/>
      <c r="X4" s="100"/>
      <c r="Y4" s="103"/>
      <c r="AD4" s="176"/>
      <c r="AE4" s="102"/>
      <c r="AQ4" s="101"/>
    </row>
    <row r="5" spans="1:43" s="92" customFormat="1">
      <c r="A5" s="377" t="s">
        <v>1</v>
      </c>
      <c r="B5" s="377"/>
      <c r="C5" s="364" t="s">
        <v>2</v>
      </c>
      <c r="D5" s="364"/>
      <c r="E5" s="364"/>
      <c r="F5" s="364"/>
      <c r="G5" s="364"/>
      <c r="I5" s="98"/>
      <c r="K5" s="98"/>
      <c r="M5" s="98"/>
      <c r="N5" s="99"/>
      <c r="O5" s="99"/>
      <c r="P5" s="99"/>
      <c r="Q5" s="99"/>
      <c r="R5" s="100"/>
      <c r="S5" s="100"/>
      <c r="T5" s="100"/>
      <c r="U5" s="100"/>
      <c r="V5" s="100"/>
      <c r="W5" s="100"/>
      <c r="X5" s="100"/>
      <c r="Y5" s="100"/>
      <c r="Z5" s="99"/>
      <c r="AA5" s="99"/>
      <c r="AB5" s="99"/>
      <c r="AC5" s="99"/>
      <c r="AD5" s="99"/>
      <c r="AE5" s="174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</row>
    <row r="6" spans="1:43" s="91" customFormat="1" ht="15.6" customHeight="1">
      <c r="A6" s="371" t="s">
        <v>77</v>
      </c>
      <c r="B6" s="372"/>
      <c r="C6" s="372"/>
      <c r="D6" s="372"/>
      <c r="E6" s="373"/>
      <c r="F6" s="378" t="s">
        <v>334</v>
      </c>
      <c r="G6" s="378"/>
      <c r="H6" s="378"/>
      <c r="I6" s="378"/>
      <c r="J6" s="379"/>
      <c r="K6" s="379"/>
      <c r="L6" s="379"/>
      <c r="M6" s="379"/>
      <c r="N6" s="392"/>
      <c r="O6" s="392"/>
      <c r="P6" s="392"/>
      <c r="Q6" s="392"/>
      <c r="R6" s="392"/>
      <c r="S6" s="392"/>
      <c r="T6" s="392"/>
      <c r="U6" s="392"/>
      <c r="V6" s="132"/>
      <c r="W6" s="132"/>
      <c r="X6" s="132"/>
      <c r="Y6" s="132"/>
      <c r="Z6" s="396" t="s">
        <v>79</v>
      </c>
      <c r="AA6" s="396"/>
      <c r="AB6" s="396"/>
      <c r="AC6" s="397"/>
      <c r="AD6" s="397"/>
      <c r="AE6" s="397"/>
      <c r="AF6" s="398"/>
      <c r="AG6" s="398"/>
      <c r="AH6" s="398"/>
      <c r="AI6" s="398"/>
      <c r="AJ6" s="398"/>
      <c r="AK6" s="391"/>
      <c r="AL6" s="391"/>
      <c r="AM6" s="391"/>
      <c r="AN6" s="391"/>
      <c r="AO6" s="391"/>
      <c r="AP6" s="391"/>
      <c r="AQ6" s="391"/>
    </row>
    <row r="7" spans="1:43" s="92" customFormat="1" ht="13.35" customHeight="1">
      <c r="A7" s="374"/>
      <c r="B7" s="375"/>
      <c r="C7" s="375"/>
      <c r="D7" s="375"/>
      <c r="E7" s="376"/>
      <c r="F7" s="370" t="s">
        <v>80</v>
      </c>
      <c r="G7" s="370"/>
      <c r="H7" s="370" t="s">
        <v>81</v>
      </c>
      <c r="I7" s="370"/>
      <c r="J7" s="370" t="s">
        <v>82</v>
      </c>
      <c r="K7" s="370"/>
      <c r="L7" s="370" t="s">
        <v>83</v>
      </c>
      <c r="M7" s="370"/>
      <c r="N7" s="385" t="s">
        <v>84</v>
      </c>
      <c r="O7" s="385" t="s">
        <v>85</v>
      </c>
      <c r="P7" s="385" t="s">
        <v>86</v>
      </c>
      <c r="Q7" s="380" t="s">
        <v>87</v>
      </c>
      <c r="R7" s="363" t="s">
        <v>88</v>
      </c>
      <c r="S7" s="389" t="s">
        <v>89</v>
      </c>
      <c r="T7" s="267"/>
      <c r="U7" s="363" t="s">
        <v>90</v>
      </c>
      <c r="V7" s="267"/>
      <c r="W7" s="267"/>
      <c r="X7" s="389" t="s">
        <v>91</v>
      </c>
      <c r="Y7" s="389" t="s">
        <v>92</v>
      </c>
      <c r="Z7" s="400" t="s">
        <v>93</v>
      </c>
      <c r="AA7" s="265"/>
      <c r="AB7" s="385" t="s">
        <v>94</v>
      </c>
      <c r="AC7" s="380" t="s">
        <v>95</v>
      </c>
      <c r="AD7" s="263"/>
      <c r="AE7" s="394" t="s">
        <v>41</v>
      </c>
      <c r="AF7" s="380" t="s">
        <v>96</v>
      </c>
      <c r="AG7" s="380" t="s">
        <v>97</v>
      </c>
      <c r="AH7" s="380" t="s">
        <v>98</v>
      </c>
      <c r="AI7" s="380" t="s">
        <v>99</v>
      </c>
      <c r="AJ7" s="380" t="s">
        <v>100</v>
      </c>
      <c r="AK7" s="380" t="s">
        <v>101</v>
      </c>
      <c r="AL7" s="380" t="s">
        <v>102</v>
      </c>
      <c r="AM7" s="385" t="s">
        <v>103</v>
      </c>
      <c r="AN7" s="385" t="s">
        <v>104</v>
      </c>
      <c r="AO7" s="386" t="s">
        <v>105</v>
      </c>
      <c r="AP7" s="386" t="s">
        <v>106</v>
      </c>
      <c r="AQ7" s="386" t="s">
        <v>41</v>
      </c>
    </row>
    <row r="8" spans="1:43" s="92" customFormat="1" ht="42" customHeight="1">
      <c r="A8" s="269" t="s">
        <v>107</v>
      </c>
      <c r="B8" s="269" t="s">
        <v>108</v>
      </c>
      <c r="C8" s="269" t="s">
        <v>109</v>
      </c>
      <c r="D8" s="348" t="s">
        <v>347</v>
      </c>
      <c r="E8" s="269" t="s">
        <v>82</v>
      </c>
      <c r="F8" s="269" t="s">
        <v>110</v>
      </c>
      <c r="G8" s="93" t="s">
        <v>111</v>
      </c>
      <c r="H8" s="269" t="s">
        <v>110</v>
      </c>
      <c r="I8" s="93" t="s">
        <v>111</v>
      </c>
      <c r="J8" s="269" t="s">
        <v>110</v>
      </c>
      <c r="K8" s="93" t="s">
        <v>111</v>
      </c>
      <c r="L8" s="269" t="s">
        <v>110</v>
      </c>
      <c r="M8" s="93" t="s">
        <v>111</v>
      </c>
      <c r="N8" s="385"/>
      <c r="O8" s="385"/>
      <c r="P8" s="385"/>
      <c r="Q8" s="381"/>
      <c r="R8" s="363"/>
      <c r="S8" s="390"/>
      <c r="T8" s="268" t="s">
        <v>112</v>
      </c>
      <c r="U8" s="363"/>
      <c r="V8" s="268" t="s">
        <v>113</v>
      </c>
      <c r="W8" s="268" t="s">
        <v>114</v>
      </c>
      <c r="X8" s="390"/>
      <c r="Y8" s="390"/>
      <c r="Z8" s="401"/>
      <c r="AA8" s="266" t="s">
        <v>115</v>
      </c>
      <c r="AB8" s="399"/>
      <c r="AC8" s="393"/>
      <c r="AD8" s="264" t="s">
        <v>116</v>
      </c>
      <c r="AE8" s="395"/>
      <c r="AF8" s="393"/>
      <c r="AG8" s="393"/>
      <c r="AH8" s="393"/>
      <c r="AI8" s="393"/>
      <c r="AJ8" s="393"/>
      <c r="AK8" s="393"/>
      <c r="AL8" s="393"/>
      <c r="AM8" s="385"/>
      <c r="AN8" s="385"/>
      <c r="AO8" s="386"/>
      <c r="AP8" s="386"/>
      <c r="AQ8" s="386"/>
    </row>
    <row r="9" spans="1:43">
      <c r="A9" s="114" t="s">
        <v>328</v>
      </c>
      <c r="B9" s="115"/>
      <c r="C9" s="116"/>
      <c r="D9" s="116"/>
      <c r="E9" s="116"/>
      <c r="F9" s="116"/>
      <c r="G9" s="203" t="b">
        <f>(IF(F9="Consultant", "enter manually", (IF(C9="W", 'Project Wide Estimates'!$H$12*'Project Wide Estimates'!$E$31, (IF(C9="N", ('Project Wide Estimates'!$H$13+'Project Wide Estimates'!$F$13)*'Project Wide Estimates'!$E$31, (IF('Individual Parcel Estimate'!C9="I", ('Project Wide Estimates'!$H$14+'Project Wide Estimates'!$F$14)*'Project Wide Estimates'!$E$31, (IF('Individual Parcel Estimate'!C9="II", ('Project Wide Estimates'!$H$15+'Project Wide Estimates'!$F$15)*'Project Wide Estimates'!$E$31, (IF('Individual Parcel Estimate'!C9="M", ('Project Wide Estimates'!$H$16+'Project Wide Estimates'!$F$16)*'Project Wide Estimates'!$E$31, (IF('Individual Parcel Estimate'!C9="MI", ('Project Wide Estimates'!$H$17+'Project Wide Estimates'!$F$17)*'Project Wide Estimates'!$E$31, (IF('Individual Parcel Estimate'!C9="C", ('Project Wide Estimates'!$H$18+'Project Wide Estimates'!$F$18)*'Project Wide Estimates'!$E$31, (IF('Individual Parcel Estimate'!C9="CI", ('Project Wide Estimates'!$H$19+'Project Wide Estimates'!$F$19)*'Project Wide Estimates'!$E$31))))))))))))))))))</f>
        <v>0</v>
      </c>
      <c r="H9" s="116"/>
      <c r="I9" s="203" t="b">
        <f>(IF(H9="Consultant","enter manually",(IF(C9="W",('Project Wide Estimates'!$G$12+'Project Wide Estimates'!$I$12+'Project Wide Estimates'!$F$12)*'Project Wide Estimates'!$E$31,(IF(C9="N",('Project Wide Estimates'!$G$13+'Project Wide Estimates'!$I$13)*'Project Wide Estimates'!$E$31,(IF('Individual Parcel Estimate'!C9="I",'Project Wide Estimates'!$I$14*'Project Wide Estimates'!$E$31,(IF('Individual Parcel Estimate'!C9="II",'Project Wide Estimates'!$I$15*'Project Wide Estimates'!$E$31,(IF('Individual Parcel Estimate'!C9="M",'Project Wide Estimates'!$I$16*'Project Wide Estimates'!$E$31,(IF('Individual Parcel Estimate'!C9="MI",'Project Wide Estimates'!$I$17*'Project Wide Estimates'!$E$31,(IF('Individual Parcel Estimate'!C9="C",'Project Wide Estimates'!$I$18*'Project Wide Estimates'!$E$31,(IF('Individual Parcel Estimate'!C9="CI",'Project Wide Estimates'!$I$19*'Project Wide Estimates'!$E$31))))))))))))))))))</f>
        <v>0</v>
      </c>
      <c r="J9" s="116"/>
      <c r="K9" s="203" t="b">
        <f>(IF(J9="Consultant","enter manually",(IF(C9="W","na",(IF(C9="N","na",(IF(C9="I","na",(IF(C9="II",'Project Wide Estimates'!$J$15*'Project Wide Estimates'!$E$31,(IF('Individual Parcel Estimate'!C9="M","na",(IF('Individual Parcel Estimate'!C9="MI",'Project Wide Estimates'!$J$17*'Project Wide Estimates'!$E$31,(IF('Individual Parcel Estimate'!C9="C","na",(IF('Individual Parcel Estimate'!C9="CI",'Project Wide Estimates'!$J$19*'Project Wide Estimates'!$E$31))))))))))))))))))</f>
        <v>0</v>
      </c>
      <c r="L9" s="116"/>
      <c r="M9" s="203" t="b">
        <f>(IF(L9="Consultant","enter manually",(IF(C9="W","na",(IF(C9="N","na",(IF(C9="I","na",(IF(C9="II",'Project Wide Estimates'!$K$15*'Project Wide Estimates'!$E$31,(IF('Individual Parcel Estimate'!C9="M","na",(IF('Individual Parcel Estimate'!C9="MI",'Project Wide Estimates'!$K$17*'Project Wide Estimates'!$E$31,(IF('Individual Parcel Estimate'!C9="C","na",(IF('Individual Parcel Estimate'!C9="CI",'Project Wide Estimates'!$K$19*'Project Wide Estimates'!$E$31))))))))))))))))))</f>
        <v>0</v>
      </c>
      <c r="N9" s="217"/>
      <c r="O9" s="217"/>
      <c r="P9" s="203" t="b">
        <f>(IF(C9="W",('Project Wide Estimates'!$D$12+'Project Wide Estimates'!$E$12)*'Project Wide Estimates'!$E$31,(IF(C9="N",('Project Wide Estimates'!$D$13+'Project Wide Estimates'!$E$13)*'Project Wide Estimates'!$E$31,(IF('Individual Parcel Estimate'!C9="I",('Project Wide Estimates'!$D$14+'Project Wide Estimates'!$E$14)*'Project Wide Estimates'!$E$31,(IF('Individual Parcel Estimate'!C9="II",('Project Wide Estimates'!$D$15+'Project Wide Estimates'!$E$15)*'Project Wide Estimates'!$E$31,(IF('Individual Parcel Estimate'!C9="M",('Project Wide Estimates'!$D$16+'Project Wide Estimates'!$E$16)*'Project Wide Estimates'!$E$31,(IF('Individual Parcel Estimate'!C9="MI",('Project Wide Estimates'!$D$17+'Project Wide Estimates'!$E$17)*'Project Wide Estimates'!$E$31,(IF('Individual Parcel Estimate'!C9="C",('Project Wide Estimates'!$D$18+'Project Wide Estimates'!$E$18)*'Project Wide Estimates'!$E$31,(IF('Individual Parcel Estimate'!C9="CI",('Project Wide Estimates'!$D$19+'Project Wide Estimates'!$E$19)*'Project Wide Estimates'!$E$31))))))))))))))))</f>
        <v>0</v>
      </c>
      <c r="Q9" s="318"/>
      <c r="R9" s="114"/>
      <c r="S9" s="203" t="b">
        <f>(IF(U9="Agricultural 1",R9*'Project Wide Estimates'!$Q$15,(IF('Individual Parcel Estimate'!U9="Agricultural 2",'Individual Parcel Estimate'!R9*'Project Wide Estimates'!$Q$16,(IF('Individual Parcel Estimate'!U9="Residential 1",'Individual Parcel Estimate'!R9*'Project Wide Estimates'!$Q$17,(IF('Individual Parcel Estimate'!U9="Residential 2",'Individual Parcel Estimate'!R9*'Project Wide Estimates'!$Q$18,(IF('Individual Parcel Estimate'!U9="Commercial 1",'Individual Parcel Estimate'!R9*'Project Wide Estimates'!$Q$19,(IF('Individual Parcel Estimate'!U9="Commercial 2",'Individual Parcel Estimate'!R9*'Project Wide Estimates'!$Q$20,(IF('Individual Parcel Estimate'!U9="Industrial 1",'Individual Parcel Estimate'!R9*'Project Wide Estimates'!$Q$21,(IF('Individual Parcel Estimate'!U9="Industrial 2",'Individual Parcel Estimate'!R9*'Project Wide Estimates'!$Q$22,(IF('Individual Parcel Estimate'!U9="Other 1",'Individual Parcel Estimate'!R9*'Project Wide Estimates'!$Q$23,(IF('Individual Parcel Estimate'!U9="Other 2",'Individual Parcel Estimate'!R9*'Project Wide Estimates'!$Q$24))))))))))))))))))))</f>
        <v>0</v>
      </c>
      <c r="T9" s="231"/>
      <c r="U9" s="116"/>
      <c r="V9" s="114"/>
      <c r="W9" s="224"/>
      <c r="X9" s="114"/>
      <c r="Y9" s="203" t="b">
        <f>(IF(U9="Agricultural 1",X9*('Project Wide Estimates'!$Q$15*0.1),(IF('Individual Parcel Estimate'!U9="Agricultural 2",'Individual Parcel Estimate'!X9*('Project Wide Estimates'!$Q$16*0.1),(IF('Individual Parcel Estimate'!U9="Residential 1",'Individual Parcel Estimate'!X9*('Project Wide Estimates'!$Q$17*0.1),(IF('Individual Parcel Estimate'!U9="Residential 2",'Individual Parcel Estimate'!X9*('Project Wide Estimates'!$Q$18*0.1),(IF('Individual Parcel Estimate'!U9="Commercial 1",'Individual Parcel Estimate'!X9*('Project Wide Estimates'!$Q$19*0.1),(IF('Individual Parcel Estimate'!U9="Commercial 2",'Individual Parcel Estimate'!X9*('Project Wide Estimates'!$Q$20*0.1),(IF('Individual Parcel Estimate'!U9="Industrial 1",'Individual Parcel Estimate'!X9*('Project Wide Estimates'!$Q$21*0.1),(IF('Individual Parcel Estimate'!U9="Industrial 2",'Individual Parcel Estimate'!X9*('Project Wide Estimates'!$Q$22*0.1),(IF('Individual Parcel Estimate'!U9="Other 1",'Individual Parcel Estimate'!X9*('Project Wide Estimates'!$Q$23*0.1),(IF('Individual Parcel Estimate'!U9="Other 2",'Individual Parcel Estimate'!X9*('Project Wide Estimates'!$Q$24*0.1)))))))))))))))))))))</f>
        <v>0</v>
      </c>
      <c r="Z9" s="203" t="b">
        <f>(IF(U9="Agricultural 1",'Project Wide Estimates'!$Q$15*'Individual Parcel Estimate'!R9, (IF('Individual Parcel Estimate'!U9="Agricultural 2", 'Project Wide Estimates'!$Q$16*'Individual Parcel Estimate'!R9, (IF('Individual Parcel Estimate'!U9="Residential 1", 'Project Wide Estimates'!$Q$17*'Individual Parcel Estimate'!R9, (IF('Individual Parcel Estimate'!U9="Residential 2",'Project Wide Estimates'!$Q$18*'Individual Parcel Estimate'!R9, (IF('Individual Parcel Estimate'!U9="Commercial 1",'Project Wide Estimates'!$Q$19*'Individual Parcel Estimate'!R9, (IF('Individual Parcel Estimate'!U9="Commercial 2", 'Project Wide Estimates'!$Q$20*'Individual Parcel Estimate'!R9, (IF('Individual Parcel Estimate'!U9="Industrial 1", 'Project Wide Estimates'!$Q$21*'Individual Parcel Estimate'!R9, (IF('Individual Parcel Estimate'!U9="Industrial 2", 'Project Wide Estimates'!$Q$22*'Individual Parcel Estimate'!R9, (IF('Individual Parcel Estimate'!U9="Other 1", 'Project Wide Estimates'!$Q$23*'Individual Parcel Estimate'!R9, (IF('Individual Parcel Estimate'!U9="Other 2", 'Project Wide Estimates'!$Q$24*'Individual Parcel Estimate'!R9))))))))))))))))))))</f>
        <v>0</v>
      </c>
      <c r="AA9" s="222">
        <f>W9</f>
        <v>0</v>
      </c>
      <c r="AB9" s="203" t="b">
        <f t="shared" ref="AB9:AB33" si="0">Y9</f>
        <v>0</v>
      </c>
      <c r="AC9" s="218"/>
      <c r="AD9" s="218"/>
      <c r="AE9" s="219"/>
      <c r="AF9" s="217"/>
      <c r="AG9" s="217"/>
      <c r="AH9" s="217"/>
      <c r="AI9" s="217"/>
      <c r="AJ9" s="217"/>
      <c r="AK9" s="203">
        <f t="shared" ref="AK9:AK33" si="1">SUM(Z9:AC9)*0.2</f>
        <v>0</v>
      </c>
      <c r="AL9" s="203">
        <f t="shared" ref="AL9:AL33" si="2">SUM(Z9,AB9,AC9,AF9,AG9,AH9,AI9,AJ9,AK9)</f>
        <v>0</v>
      </c>
      <c r="AM9" s="114"/>
      <c r="AN9" s="114"/>
      <c r="AO9" s="114"/>
      <c r="AP9" s="259">
        <f t="shared" ref="AP9:AP20" si="3">AL9-(AN9+AO9)</f>
        <v>0</v>
      </c>
      <c r="AQ9" s="114"/>
    </row>
    <row r="10" spans="1:43">
      <c r="A10" s="114"/>
      <c r="B10" s="115"/>
      <c r="C10" s="116"/>
      <c r="D10" s="116"/>
      <c r="E10" s="116"/>
      <c r="F10" s="116"/>
      <c r="G10" s="203" t="b">
        <f>(IF(F10="Consultant", "enter manually", (IF(C10="W", 'Project Wide Estimates'!$H$12*'Project Wide Estimates'!$E$31, (IF(C10="N", ('Project Wide Estimates'!$H$13+'Project Wide Estimates'!$F$13)*'Project Wide Estimates'!$E$31, (IF('Individual Parcel Estimate'!C10="I", ('Project Wide Estimates'!$H$14+'Project Wide Estimates'!$F$14)*'Project Wide Estimates'!$E$31, (IF('Individual Parcel Estimate'!C10="II", ('Project Wide Estimates'!$H$15+'Project Wide Estimates'!$F$15)*'Project Wide Estimates'!$E$31, (IF('Individual Parcel Estimate'!C10="M", ('Project Wide Estimates'!$H$16+'Project Wide Estimates'!$F$16)*'Project Wide Estimates'!$E$31, (IF('Individual Parcel Estimate'!C10="MI", ('Project Wide Estimates'!$H$17+'Project Wide Estimates'!$F$17)*'Project Wide Estimates'!$E$31, (IF('Individual Parcel Estimate'!C10="C", ('Project Wide Estimates'!$H$18+'Project Wide Estimates'!$F$18)*'Project Wide Estimates'!$E$31, (IF('Individual Parcel Estimate'!C10="CI", ('Project Wide Estimates'!$H$19+'Project Wide Estimates'!$F$19)*'Project Wide Estimates'!$E$31))))))))))))))))))</f>
        <v>0</v>
      </c>
      <c r="H10" s="116"/>
      <c r="I10" s="203" t="b">
        <f>(IF(H10="Consultant","enter manually",(IF(C10="W",('Project Wide Estimates'!$G$12+'Project Wide Estimates'!$I$12+'Project Wide Estimates'!$F$12)*'Project Wide Estimates'!$E$31,(IF(C10="N",('Project Wide Estimates'!$G$13+'Project Wide Estimates'!$I$13)*'Project Wide Estimates'!$E$31,(IF('Individual Parcel Estimate'!C10="I",'Project Wide Estimates'!$I$14*'Project Wide Estimates'!$E$31,(IF('Individual Parcel Estimate'!C10="II",'Project Wide Estimates'!$I$15*'Project Wide Estimates'!$E$31,(IF('Individual Parcel Estimate'!C10="M",'Project Wide Estimates'!$I$16*'Project Wide Estimates'!$E$31,(IF('Individual Parcel Estimate'!C10="MI",'Project Wide Estimates'!$I$17*'Project Wide Estimates'!$E$31,(IF('Individual Parcel Estimate'!C10="C",'Project Wide Estimates'!$I$18*'Project Wide Estimates'!$E$31,(IF('Individual Parcel Estimate'!C10="CI",'Project Wide Estimates'!$I$19*'Project Wide Estimates'!$E$31))))))))))))))))))</f>
        <v>0</v>
      </c>
      <c r="J10" s="116"/>
      <c r="K10" s="203" t="b">
        <f>(IF(J10="Consultant","enter manually",(IF(C10="W","na",(IF(C10="N","na",(IF(C10="I","na",(IF(C10="II",'Project Wide Estimates'!$J$15*'Project Wide Estimates'!$E$31,(IF('Individual Parcel Estimate'!C10="M","na",(IF('Individual Parcel Estimate'!C10="MI",'Project Wide Estimates'!$J$17*'Project Wide Estimates'!$E$31,(IF('Individual Parcel Estimate'!C10="C","na",(IF('Individual Parcel Estimate'!C10="CI",'Project Wide Estimates'!$J$19*'Project Wide Estimates'!$E$31))))))))))))))))))</f>
        <v>0</v>
      </c>
      <c r="L10" s="116"/>
      <c r="M10" s="203" t="b">
        <f>(IF(L10="Consultant","enter manually",(IF(C10="W","na",(IF(C10="N","na",(IF(C10="I","na",(IF(C10="II",'Project Wide Estimates'!$K$15*'Project Wide Estimates'!$E$31,(IF('Individual Parcel Estimate'!C10="M","na",(IF('Individual Parcel Estimate'!C10="MI",'Project Wide Estimates'!$K$17*'Project Wide Estimates'!$E$31,(IF('Individual Parcel Estimate'!C10="C","na",(IF('Individual Parcel Estimate'!C10="CI",'Project Wide Estimates'!$K$19*'Project Wide Estimates'!$E$31))))))))))))))))))</f>
        <v>0</v>
      </c>
      <c r="N10" s="217"/>
      <c r="O10" s="217"/>
      <c r="P10" s="203" t="b">
        <f>(IF(C10="W",('Project Wide Estimates'!$D$12+'Project Wide Estimates'!$E$12)*'Project Wide Estimates'!$E$31,(IF(C10="N",('Project Wide Estimates'!$D$13+'Project Wide Estimates'!$E$13)*'Project Wide Estimates'!$E$31,(IF('Individual Parcel Estimate'!C10="I",('Project Wide Estimates'!$D$14+'Project Wide Estimates'!$E$14)*'Project Wide Estimates'!$E$31,(IF('Individual Parcel Estimate'!C10="II",('Project Wide Estimates'!$D$15+'Project Wide Estimates'!$E$15)*'Project Wide Estimates'!$E$31,(IF('Individual Parcel Estimate'!C10="M",('Project Wide Estimates'!$D$16+'Project Wide Estimates'!$E$16)*'Project Wide Estimates'!$E$31,(IF('Individual Parcel Estimate'!C10="MI",('Project Wide Estimates'!$D$17+'Project Wide Estimates'!$E$17)*'Project Wide Estimates'!$E$31,(IF('Individual Parcel Estimate'!C10="C",('Project Wide Estimates'!$D$18+'Project Wide Estimates'!$E$18)*'Project Wide Estimates'!$E$31,(IF('Individual Parcel Estimate'!C10="CI",('Project Wide Estimates'!$D$19+'Project Wide Estimates'!$E$19)*'Project Wide Estimates'!$E$31))))))))))))))))</f>
        <v>0</v>
      </c>
      <c r="Q10" s="318"/>
      <c r="R10" s="114"/>
      <c r="S10" s="203" t="b">
        <f>(IF(U10="Agricultural 1",R10*'Project Wide Estimates'!$Q$15,(IF('Individual Parcel Estimate'!U10="Agricultural 2",'Individual Parcel Estimate'!R10*'Project Wide Estimates'!$Q$16,(IF('Individual Parcel Estimate'!U10="Residential 1",'Individual Parcel Estimate'!R10*'Project Wide Estimates'!$Q$17,(IF('Individual Parcel Estimate'!U10="Residential 2",'Individual Parcel Estimate'!R10*'Project Wide Estimates'!$Q$18,(IF('Individual Parcel Estimate'!U10="Commercial 1",'Individual Parcel Estimate'!R10*'Project Wide Estimates'!$Q$19,(IF('Individual Parcel Estimate'!U10="Commercial 2",'Individual Parcel Estimate'!R10*'Project Wide Estimates'!$Q$20,(IF('Individual Parcel Estimate'!U10="Industrial 1",'Individual Parcel Estimate'!R10*'Project Wide Estimates'!$Q$21,(IF('Individual Parcel Estimate'!U10="Industrial 2",'Individual Parcel Estimate'!R10*'Project Wide Estimates'!$Q$22,(IF('Individual Parcel Estimate'!U10="Other 1",'Individual Parcel Estimate'!R10*'Project Wide Estimates'!$Q$23,(IF('Individual Parcel Estimate'!U10="Other 2",'Individual Parcel Estimate'!R10*'Project Wide Estimates'!$Q$24))))))))))))))))))))</f>
        <v>0</v>
      </c>
      <c r="T10" s="231"/>
      <c r="U10" s="116"/>
      <c r="V10" s="114"/>
      <c r="W10" s="224"/>
      <c r="X10" s="114"/>
      <c r="Y10" s="203" t="b">
        <f>(IF(U10="Agricultural 1",X10*('Project Wide Estimates'!$Q$15*0.1),(IF('Individual Parcel Estimate'!U10="Agricultural 2",'Individual Parcel Estimate'!X10*('Project Wide Estimates'!$Q$16*0.1),(IF('Individual Parcel Estimate'!U10="Residential 1",'Individual Parcel Estimate'!X10*('Project Wide Estimates'!$Q$17*0.1),(IF('Individual Parcel Estimate'!U10="Residential 2",'Individual Parcel Estimate'!X10*('Project Wide Estimates'!$Q$18*0.1),(IF('Individual Parcel Estimate'!U10="Commercial 1",'Individual Parcel Estimate'!X10*('Project Wide Estimates'!$Q$19*0.1),(IF('Individual Parcel Estimate'!U10="Commercial 2",'Individual Parcel Estimate'!X10*('Project Wide Estimates'!$Q$20*0.1),(IF('Individual Parcel Estimate'!U10="Industrial 1",'Individual Parcel Estimate'!X10*('Project Wide Estimates'!$Q$21*0.1),(IF('Individual Parcel Estimate'!U10="Industrial 2",'Individual Parcel Estimate'!X10*('Project Wide Estimates'!$Q$22*0.1),(IF('Individual Parcel Estimate'!U10="Other 1",'Individual Parcel Estimate'!X10*('Project Wide Estimates'!$Q$23*0.1),(IF('Individual Parcel Estimate'!U10="Other 2",'Individual Parcel Estimate'!X10*('Project Wide Estimates'!$Q$24*0.1)))))))))))))))))))))</f>
        <v>0</v>
      </c>
      <c r="Z10" s="203" t="b">
        <f>(IF(U10="Agricultural 1",'Project Wide Estimates'!$Q$15*'Individual Parcel Estimate'!R10, (IF('Individual Parcel Estimate'!U10="Agricultural 2", 'Project Wide Estimates'!$Q$16*'Individual Parcel Estimate'!R10, (IF('Individual Parcel Estimate'!U10="Residential 1", 'Project Wide Estimates'!$Q$17*'Individual Parcel Estimate'!R10, (IF('Individual Parcel Estimate'!U10="Residential 2",'Project Wide Estimates'!$Q$18*'Individual Parcel Estimate'!R10, (IF('Individual Parcel Estimate'!U10="Commercial 1",'Project Wide Estimates'!$Q$19*'Individual Parcel Estimate'!R10, (IF('Individual Parcel Estimate'!U10="Commercial 2", 'Project Wide Estimates'!$Q$20*'Individual Parcel Estimate'!R10, (IF('Individual Parcel Estimate'!U10="Industrial 1", 'Project Wide Estimates'!$Q$21*'Individual Parcel Estimate'!R10, (IF('Individual Parcel Estimate'!U10="Industrial 2", 'Project Wide Estimates'!$Q$22*'Individual Parcel Estimate'!R10, (IF('Individual Parcel Estimate'!U10="Other 1", 'Project Wide Estimates'!$Q$23*'Individual Parcel Estimate'!R10, (IF('Individual Parcel Estimate'!U10="Other 2", 'Project Wide Estimates'!$Q$24*'Individual Parcel Estimate'!R10))))))))))))))))))))</f>
        <v>0</v>
      </c>
      <c r="AA10" s="222">
        <f t="shared" ref="AA10:AA57" si="4">W10</f>
        <v>0</v>
      </c>
      <c r="AB10" s="203" t="b">
        <f t="shared" si="0"/>
        <v>0</v>
      </c>
      <c r="AC10" s="217"/>
      <c r="AD10" s="217"/>
      <c r="AE10" s="219" t="s">
        <v>10</v>
      </c>
      <c r="AF10" s="217"/>
      <c r="AG10" s="217"/>
      <c r="AH10" s="217"/>
      <c r="AI10" s="217"/>
      <c r="AJ10" s="217"/>
      <c r="AK10" s="203">
        <f t="shared" si="1"/>
        <v>0</v>
      </c>
      <c r="AL10" s="203">
        <f t="shared" si="2"/>
        <v>0</v>
      </c>
      <c r="AM10" s="114"/>
      <c r="AN10" s="114"/>
      <c r="AO10" s="114"/>
      <c r="AP10" s="259">
        <f t="shared" si="3"/>
        <v>0</v>
      </c>
      <c r="AQ10" s="114"/>
    </row>
    <row r="11" spans="1:43">
      <c r="A11" s="114"/>
      <c r="B11" s="115"/>
      <c r="C11" s="116"/>
      <c r="D11" s="116"/>
      <c r="E11" s="116"/>
      <c r="F11" s="116"/>
      <c r="G11" s="203" t="b">
        <f>(IF(F11="Consultant", "enter manually", (IF(C11="W", 'Project Wide Estimates'!$H$12*'Project Wide Estimates'!$E$31, (IF(C11="N", ('Project Wide Estimates'!$H$13+'Project Wide Estimates'!$F$13)*'Project Wide Estimates'!$E$31, (IF('Individual Parcel Estimate'!C11="I", ('Project Wide Estimates'!$H$14+'Project Wide Estimates'!$F$14)*'Project Wide Estimates'!$E$31, (IF('Individual Parcel Estimate'!C11="II", ('Project Wide Estimates'!$H$15+'Project Wide Estimates'!$F$15)*'Project Wide Estimates'!$E$31, (IF('Individual Parcel Estimate'!C11="M", ('Project Wide Estimates'!$H$16+'Project Wide Estimates'!$F$16)*'Project Wide Estimates'!$E$31, (IF('Individual Parcel Estimate'!C11="MI", ('Project Wide Estimates'!$H$17+'Project Wide Estimates'!$F$17)*'Project Wide Estimates'!$E$31, (IF('Individual Parcel Estimate'!C11="C", ('Project Wide Estimates'!$H$18+'Project Wide Estimates'!$F$18)*'Project Wide Estimates'!$E$31, (IF('Individual Parcel Estimate'!C11="CI", ('Project Wide Estimates'!$H$19+'Project Wide Estimates'!$F$19)*'Project Wide Estimates'!$E$31))))))))))))))))))</f>
        <v>0</v>
      </c>
      <c r="H11" s="116"/>
      <c r="I11" s="203" t="b">
        <f>(IF(H11="Consultant","enter manually",(IF(C11="W",('Project Wide Estimates'!$G$12+'Project Wide Estimates'!$I$12+'Project Wide Estimates'!$F$12)*'Project Wide Estimates'!$E$31,(IF(C11="N",('Project Wide Estimates'!$G$13+'Project Wide Estimates'!$I$13)*'Project Wide Estimates'!$E$31,(IF('Individual Parcel Estimate'!C11="I",'Project Wide Estimates'!$I$14*'Project Wide Estimates'!$E$31,(IF('Individual Parcel Estimate'!C11="II",'Project Wide Estimates'!$I$15*'Project Wide Estimates'!$E$31,(IF('Individual Parcel Estimate'!C11="M",'Project Wide Estimates'!$I$16*'Project Wide Estimates'!$E$31,(IF('Individual Parcel Estimate'!C11="MI",'Project Wide Estimates'!$I$17*'Project Wide Estimates'!$E$31,(IF('Individual Parcel Estimate'!C11="C",'Project Wide Estimates'!$I$18*'Project Wide Estimates'!$E$31,(IF('Individual Parcel Estimate'!C11="CI",'Project Wide Estimates'!$I$19*'Project Wide Estimates'!$E$31))))))))))))))))))</f>
        <v>0</v>
      </c>
      <c r="J11" s="116"/>
      <c r="K11" s="203" t="b">
        <f>(IF(J11="Consultant","enter manually",(IF(C11="W","na",(IF(C11="N","na",(IF(C11="I","na",(IF(C11="II",'Project Wide Estimates'!$J$15*'Project Wide Estimates'!$E$31,(IF('Individual Parcel Estimate'!C11="M","na",(IF('Individual Parcel Estimate'!C11="MI",'Project Wide Estimates'!$J$17*'Project Wide Estimates'!$E$31,(IF('Individual Parcel Estimate'!C11="C","na",(IF('Individual Parcel Estimate'!C11="CI",'Project Wide Estimates'!$J$19*'Project Wide Estimates'!$E$31))))))))))))))))))</f>
        <v>0</v>
      </c>
      <c r="L11" s="116"/>
      <c r="M11" s="203" t="b">
        <f>(IF(L11="Consultant","enter manually",(IF(C11="W","na",(IF(C11="N","na",(IF(C11="I","na",(IF(C11="II",'Project Wide Estimates'!$K$15*'Project Wide Estimates'!$E$31,(IF('Individual Parcel Estimate'!C11="M","na",(IF('Individual Parcel Estimate'!C11="MI",'Project Wide Estimates'!$K$17*'Project Wide Estimates'!$E$31,(IF('Individual Parcel Estimate'!C11="C","na",(IF('Individual Parcel Estimate'!C11="CI",'Project Wide Estimates'!$K$19*'Project Wide Estimates'!$E$31))))))))))))))))))</f>
        <v>0</v>
      </c>
      <c r="N11" s="217"/>
      <c r="O11" s="217"/>
      <c r="P11" s="203" t="b">
        <f>(IF(C11="W",('Project Wide Estimates'!$D$12+'Project Wide Estimates'!$E$12)*'Project Wide Estimates'!$E$31,(IF(C11="N",('Project Wide Estimates'!$D$13+'Project Wide Estimates'!$E$13)*'Project Wide Estimates'!$E$31,(IF('Individual Parcel Estimate'!C11="I",('Project Wide Estimates'!$D$14+'Project Wide Estimates'!$E$14)*'Project Wide Estimates'!$E$31,(IF('Individual Parcel Estimate'!C11="II",('Project Wide Estimates'!$D$15+'Project Wide Estimates'!$E$15)*'Project Wide Estimates'!$E$31,(IF('Individual Parcel Estimate'!C11="M",('Project Wide Estimates'!$D$16+'Project Wide Estimates'!$E$16)*'Project Wide Estimates'!$E$31,(IF('Individual Parcel Estimate'!C11="MI",('Project Wide Estimates'!$D$17+'Project Wide Estimates'!$E$17)*'Project Wide Estimates'!$E$31,(IF('Individual Parcel Estimate'!C11="C",('Project Wide Estimates'!$D$18+'Project Wide Estimates'!$E$18)*'Project Wide Estimates'!$E$31,(IF('Individual Parcel Estimate'!C11="CI",('Project Wide Estimates'!$D$19+'Project Wide Estimates'!$E$19)*'Project Wide Estimates'!$E$31))))))))))))))))</f>
        <v>0</v>
      </c>
      <c r="Q11" s="318"/>
      <c r="R11" s="114"/>
      <c r="S11" s="203" t="b">
        <f>(IF(U11="Agricultural 1",R11*'Project Wide Estimates'!$Q$15,(IF('Individual Parcel Estimate'!U11="Agricultural 2",'Individual Parcel Estimate'!R11*'Project Wide Estimates'!$Q$16,(IF('Individual Parcel Estimate'!U11="Residential 1",'Individual Parcel Estimate'!R11*'Project Wide Estimates'!$Q$17,(IF('Individual Parcel Estimate'!U11="Residential 2",'Individual Parcel Estimate'!R11*'Project Wide Estimates'!$Q$18,(IF('Individual Parcel Estimate'!U11="Commercial 1",'Individual Parcel Estimate'!R11*'Project Wide Estimates'!$Q$19,(IF('Individual Parcel Estimate'!U11="Commercial 2",'Individual Parcel Estimate'!R11*'Project Wide Estimates'!$Q$20,(IF('Individual Parcel Estimate'!U11="Industrial 1",'Individual Parcel Estimate'!R11*'Project Wide Estimates'!$Q$21,(IF('Individual Parcel Estimate'!U11="Industrial 2",'Individual Parcel Estimate'!R11*'Project Wide Estimates'!$Q$22,(IF('Individual Parcel Estimate'!U11="Other 1",'Individual Parcel Estimate'!R11*'Project Wide Estimates'!$Q$23,(IF('Individual Parcel Estimate'!U11="Other 2",'Individual Parcel Estimate'!R11*'Project Wide Estimates'!$Q$24))))))))))))))))))))</f>
        <v>0</v>
      </c>
      <c r="T11" s="231"/>
      <c r="U11" s="116"/>
      <c r="V11" s="114"/>
      <c r="W11" s="224"/>
      <c r="X11" s="114"/>
      <c r="Y11" s="203" t="b">
        <f>(IF(U11="Agricultural 1",X11*('Project Wide Estimates'!$Q$15*0.1),(IF('Individual Parcel Estimate'!U11="Agricultural 2",'Individual Parcel Estimate'!X11*('Project Wide Estimates'!$Q$16*0.1),(IF('Individual Parcel Estimate'!U11="Residential 1",'Individual Parcel Estimate'!X11*('Project Wide Estimates'!$Q$17*0.1),(IF('Individual Parcel Estimate'!U11="Residential 2",'Individual Parcel Estimate'!X11*('Project Wide Estimates'!$Q$18*0.1),(IF('Individual Parcel Estimate'!U11="Commercial 1",'Individual Parcel Estimate'!X11*('Project Wide Estimates'!$Q$19*0.1),(IF('Individual Parcel Estimate'!U11="Commercial 2",'Individual Parcel Estimate'!X11*('Project Wide Estimates'!$Q$20*0.1),(IF('Individual Parcel Estimate'!U11="Industrial 1",'Individual Parcel Estimate'!X11*('Project Wide Estimates'!$Q$21*0.1),(IF('Individual Parcel Estimate'!U11="Industrial 2",'Individual Parcel Estimate'!X11*('Project Wide Estimates'!$Q$22*0.1),(IF('Individual Parcel Estimate'!U11="Other 1",'Individual Parcel Estimate'!X11*('Project Wide Estimates'!$Q$23*0.1),(IF('Individual Parcel Estimate'!U11="Other 2",'Individual Parcel Estimate'!X11*('Project Wide Estimates'!$Q$24*0.1)))))))))))))))))))))</f>
        <v>0</v>
      </c>
      <c r="Z11" s="203" t="b">
        <f>(IF(U11="Agricultural 1",'Project Wide Estimates'!$Q$15*'Individual Parcel Estimate'!R11, (IF('Individual Parcel Estimate'!U11="Agricultural 2", 'Project Wide Estimates'!$Q$16*'Individual Parcel Estimate'!R11, (IF('Individual Parcel Estimate'!U11="Residential 1", 'Project Wide Estimates'!$Q$17*'Individual Parcel Estimate'!R11, (IF('Individual Parcel Estimate'!U11="Residential 2",'Project Wide Estimates'!$Q$18*'Individual Parcel Estimate'!R11, (IF('Individual Parcel Estimate'!U11="Commercial 1",'Project Wide Estimates'!$Q$19*'Individual Parcel Estimate'!R11, (IF('Individual Parcel Estimate'!U11="Commercial 2", 'Project Wide Estimates'!$Q$20*'Individual Parcel Estimate'!R11, (IF('Individual Parcel Estimate'!U11="Industrial 1", 'Project Wide Estimates'!$Q$21*'Individual Parcel Estimate'!R11, (IF('Individual Parcel Estimate'!U11="Industrial 2", 'Project Wide Estimates'!$Q$22*'Individual Parcel Estimate'!R11, (IF('Individual Parcel Estimate'!U11="Other 1", 'Project Wide Estimates'!$Q$23*'Individual Parcel Estimate'!R11, (IF('Individual Parcel Estimate'!U11="Other 2", 'Project Wide Estimates'!$Q$24*'Individual Parcel Estimate'!R11))))))))))))))))))))</f>
        <v>0</v>
      </c>
      <c r="AA11" s="222">
        <f t="shared" si="4"/>
        <v>0</v>
      </c>
      <c r="AB11" s="203" t="b">
        <f t="shared" si="0"/>
        <v>0</v>
      </c>
      <c r="AC11" s="217"/>
      <c r="AD11" s="217"/>
      <c r="AE11" s="219"/>
      <c r="AF11" s="217"/>
      <c r="AG11" s="217"/>
      <c r="AH11" s="217"/>
      <c r="AI11" s="217"/>
      <c r="AJ11" s="217"/>
      <c r="AK11" s="203">
        <f t="shared" si="1"/>
        <v>0</v>
      </c>
      <c r="AL11" s="203">
        <f t="shared" si="2"/>
        <v>0</v>
      </c>
      <c r="AM11" s="114"/>
      <c r="AN11" s="114"/>
      <c r="AO11" s="114"/>
      <c r="AP11" s="259">
        <f t="shared" si="3"/>
        <v>0</v>
      </c>
      <c r="AQ11" s="114"/>
    </row>
    <row r="12" spans="1:43">
      <c r="A12" s="114"/>
      <c r="B12" s="115"/>
      <c r="C12" s="116"/>
      <c r="D12" s="116"/>
      <c r="E12" s="116"/>
      <c r="F12" s="116"/>
      <c r="G12" s="203" t="b">
        <f>(IF(F12="Consultant", "enter manually", (IF(C12="W", 'Project Wide Estimates'!$H$12*'Project Wide Estimates'!$E$31, (IF(C12="N", ('Project Wide Estimates'!$H$13+'Project Wide Estimates'!$F$13)*'Project Wide Estimates'!$E$31, (IF('Individual Parcel Estimate'!C12="I", ('Project Wide Estimates'!$H$14+'Project Wide Estimates'!$F$14)*'Project Wide Estimates'!$E$31, (IF('Individual Parcel Estimate'!C12="II", ('Project Wide Estimates'!$H$15+'Project Wide Estimates'!$F$15)*'Project Wide Estimates'!$E$31, (IF('Individual Parcel Estimate'!C12="M", ('Project Wide Estimates'!$H$16+'Project Wide Estimates'!$F$16)*'Project Wide Estimates'!$E$31, (IF('Individual Parcel Estimate'!C12="MI", ('Project Wide Estimates'!$H$17+'Project Wide Estimates'!$F$17)*'Project Wide Estimates'!$E$31, (IF('Individual Parcel Estimate'!C12="C", ('Project Wide Estimates'!$H$18+'Project Wide Estimates'!$F$18)*'Project Wide Estimates'!$E$31, (IF('Individual Parcel Estimate'!C12="CI", ('Project Wide Estimates'!$H$19+'Project Wide Estimates'!$F$19)*'Project Wide Estimates'!$E$31))))))))))))))))))</f>
        <v>0</v>
      </c>
      <c r="H12" s="116"/>
      <c r="I12" s="203" t="b">
        <f>(IF(H12="Consultant","enter manually",(IF(C12="W",('Project Wide Estimates'!$G$12+'Project Wide Estimates'!$I$12+'Project Wide Estimates'!$F$12)*'Project Wide Estimates'!$E$31,(IF(C12="N",('Project Wide Estimates'!$G$13+'Project Wide Estimates'!$I$13)*'Project Wide Estimates'!$E$31,(IF('Individual Parcel Estimate'!C12="I",'Project Wide Estimates'!$I$14*'Project Wide Estimates'!$E$31,(IF('Individual Parcel Estimate'!C12="II",'Project Wide Estimates'!$I$15*'Project Wide Estimates'!$E$31,(IF('Individual Parcel Estimate'!C12="M",'Project Wide Estimates'!$I$16*'Project Wide Estimates'!$E$31,(IF('Individual Parcel Estimate'!C12="MI",'Project Wide Estimates'!$I$17*'Project Wide Estimates'!$E$31,(IF('Individual Parcel Estimate'!C12="C",'Project Wide Estimates'!$I$18*'Project Wide Estimates'!$E$31,(IF('Individual Parcel Estimate'!C12="CI",'Project Wide Estimates'!$I$19*'Project Wide Estimates'!$E$31))))))))))))))))))</f>
        <v>0</v>
      </c>
      <c r="J12" s="116"/>
      <c r="K12" s="203" t="b">
        <f>(IF(J12="Consultant","enter manually",(IF(C12="W","na",(IF(C12="N","na",(IF(C12="I","na",(IF(C12="II",'Project Wide Estimates'!$J$15*'Project Wide Estimates'!$E$31,(IF('Individual Parcel Estimate'!C12="M","na",(IF('Individual Parcel Estimate'!C12="MI",'Project Wide Estimates'!$J$17*'Project Wide Estimates'!$E$31,(IF('Individual Parcel Estimate'!C12="C","na",(IF('Individual Parcel Estimate'!C12="CI",'Project Wide Estimates'!$J$19*'Project Wide Estimates'!$E$31))))))))))))))))))</f>
        <v>0</v>
      </c>
      <c r="L12" s="116"/>
      <c r="M12" s="203" t="b">
        <f>(IF(L12="Consultant","enter manually",(IF(C12="W","na",(IF(C12="N","na",(IF(C12="I","na",(IF(C12="II",'Project Wide Estimates'!$K$15*'Project Wide Estimates'!$E$31,(IF('Individual Parcel Estimate'!C12="M","na",(IF('Individual Parcel Estimate'!C12="MI",'Project Wide Estimates'!$K$17*'Project Wide Estimates'!$E$31,(IF('Individual Parcel Estimate'!C12="C","na",(IF('Individual Parcel Estimate'!C12="CI",'Project Wide Estimates'!$K$19*'Project Wide Estimates'!$E$31))))))))))))))))))</f>
        <v>0</v>
      </c>
      <c r="N12" s="217"/>
      <c r="O12" s="217"/>
      <c r="P12" s="203" t="b">
        <f>(IF(C12="W",('Project Wide Estimates'!$D$12+'Project Wide Estimates'!$E$12)*'Project Wide Estimates'!$E$31,(IF(C12="N",('Project Wide Estimates'!$D$13+'Project Wide Estimates'!$E$13)*'Project Wide Estimates'!$E$31,(IF('Individual Parcel Estimate'!C12="I",('Project Wide Estimates'!$D$14+'Project Wide Estimates'!$E$14)*'Project Wide Estimates'!$E$31,(IF('Individual Parcel Estimate'!C12="II",('Project Wide Estimates'!$D$15+'Project Wide Estimates'!$E$15)*'Project Wide Estimates'!$E$31,(IF('Individual Parcel Estimate'!C12="M",('Project Wide Estimates'!$D$16+'Project Wide Estimates'!$E$16)*'Project Wide Estimates'!$E$31,(IF('Individual Parcel Estimate'!C12="MI",('Project Wide Estimates'!$D$17+'Project Wide Estimates'!$E$17)*'Project Wide Estimates'!$E$31,(IF('Individual Parcel Estimate'!C12="C",('Project Wide Estimates'!$D$18+'Project Wide Estimates'!$E$18)*'Project Wide Estimates'!$E$31,(IF('Individual Parcel Estimate'!C12="CI",('Project Wide Estimates'!$D$19+'Project Wide Estimates'!$E$19)*'Project Wide Estimates'!$E$31))))))))))))))))</f>
        <v>0</v>
      </c>
      <c r="Q12" s="318"/>
      <c r="R12" s="114"/>
      <c r="S12" s="203" t="b">
        <f>(IF(U12="Agricultural 1",R12*'Project Wide Estimates'!$Q$15,(IF('Individual Parcel Estimate'!U12="Agricultural 2",'Individual Parcel Estimate'!R12*'Project Wide Estimates'!$Q$16,(IF('Individual Parcel Estimate'!U12="Residential 1",'Individual Parcel Estimate'!R12*'Project Wide Estimates'!$Q$17,(IF('Individual Parcel Estimate'!U12="Residential 2",'Individual Parcel Estimate'!R12*'Project Wide Estimates'!$Q$18,(IF('Individual Parcel Estimate'!U12="Commercial 1",'Individual Parcel Estimate'!R12*'Project Wide Estimates'!$Q$19,(IF('Individual Parcel Estimate'!U12="Commercial 2",'Individual Parcel Estimate'!R12*'Project Wide Estimates'!$Q$20,(IF('Individual Parcel Estimate'!U12="Industrial 1",'Individual Parcel Estimate'!R12*'Project Wide Estimates'!$Q$21,(IF('Individual Parcel Estimate'!U12="Industrial 2",'Individual Parcel Estimate'!R12*'Project Wide Estimates'!$Q$22,(IF('Individual Parcel Estimate'!U12="Other 1",'Individual Parcel Estimate'!R12*'Project Wide Estimates'!$Q$23,(IF('Individual Parcel Estimate'!U12="Other 2",'Individual Parcel Estimate'!R12*'Project Wide Estimates'!$Q$24))))))))))))))))))))</f>
        <v>0</v>
      </c>
      <c r="T12" s="231"/>
      <c r="U12" s="116"/>
      <c r="V12" s="114"/>
      <c r="W12" s="224"/>
      <c r="X12" s="114"/>
      <c r="Y12" s="203" t="b">
        <f>(IF(U12="Agricultural 1",X12*('Project Wide Estimates'!$Q$15*0.1),(IF('Individual Parcel Estimate'!U12="Agricultural 2",'Individual Parcel Estimate'!X12*('Project Wide Estimates'!$Q$16*0.1),(IF('Individual Parcel Estimate'!U12="Residential 1",'Individual Parcel Estimate'!X12*('Project Wide Estimates'!$Q$17*0.1),(IF('Individual Parcel Estimate'!U12="Residential 2",'Individual Parcel Estimate'!X12*('Project Wide Estimates'!$Q$18*0.1),(IF('Individual Parcel Estimate'!U12="Commercial 1",'Individual Parcel Estimate'!X12*('Project Wide Estimates'!$Q$19*0.1),(IF('Individual Parcel Estimate'!U12="Commercial 2",'Individual Parcel Estimate'!X12*('Project Wide Estimates'!$Q$20*0.1),(IF('Individual Parcel Estimate'!U12="Industrial 1",'Individual Parcel Estimate'!X12*('Project Wide Estimates'!$Q$21*0.1),(IF('Individual Parcel Estimate'!U12="Industrial 2",'Individual Parcel Estimate'!X12*('Project Wide Estimates'!$Q$22*0.1),(IF('Individual Parcel Estimate'!U12="Other 1",'Individual Parcel Estimate'!X12*('Project Wide Estimates'!$Q$23*0.1),(IF('Individual Parcel Estimate'!U12="Other 2",'Individual Parcel Estimate'!X12*('Project Wide Estimates'!$Q$24*0.1)))))))))))))))))))))</f>
        <v>0</v>
      </c>
      <c r="Z12" s="203" t="b">
        <f>(IF(U12="Agricultural 1",'Project Wide Estimates'!$Q$15*'Individual Parcel Estimate'!R12, (IF('Individual Parcel Estimate'!U12="Agricultural 2", 'Project Wide Estimates'!$Q$16*'Individual Parcel Estimate'!R12, (IF('Individual Parcel Estimate'!U12="Residential 1", 'Project Wide Estimates'!$Q$17*'Individual Parcel Estimate'!R12, (IF('Individual Parcel Estimate'!U12="Residential 2",'Project Wide Estimates'!$Q$18*'Individual Parcel Estimate'!R12, (IF('Individual Parcel Estimate'!U12="Commercial 1",'Project Wide Estimates'!$Q$19*'Individual Parcel Estimate'!R12, (IF('Individual Parcel Estimate'!U12="Commercial 2", 'Project Wide Estimates'!$Q$20*'Individual Parcel Estimate'!R12, (IF('Individual Parcel Estimate'!U12="Industrial 1", 'Project Wide Estimates'!$Q$21*'Individual Parcel Estimate'!R12, (IF('Individual Parcel Estimate'!U12="Industrial 2", 'Project Wide Estimates'!$Q$22*'Individual Parcel Estimate'!R12, (IF('Individual Parcel Estimate'!U12="Other 1", 'Project Wide Estimates'!$Q$23*'Individual Parcel Estimate'!R12, (IF('Individual Parcel Estimate'!U12="Other 2", 'Project Wide Estimates'!$Q$24*'Individual Parcel Estimate'!R12))))))))))))))))))))</f>
        <v>0</v>
      </c>
      <c r="AA12" s="222">
        <f t="shared" si="4"/>
        <v>0</v>
      </c>
      <c r="AB12" s="203" t="b">
        <f t="shared" si="0"/>
        <v>0</v>
      </c>
      <c r="AC12" s="217"/>
      <c r="AD12" s="217"/>
      <c r="AE12" s="219"/>
      <c r="AF12" s="217"/>
      <c r="AG12" s="217"/>
      <c r="AH12" s="217"/>
      <c r="AI12" s="217"/>
      <c r="AJ12" s="217"/>
      <c r="AK12" s="203">
        <f t="shared" si="1"/>
        <v>0</v>
      </c>
      <c r="AL12" s="203">
        <f t="shared" si="2"/>
        <v>0</v>
      </c>
      <c r="AM12" s="114"/>
      <c r="AN12" s="114"/>
      <c r="AO12" s="114"/>
      <c r="AP12" s="259">
        <f t="shared" si="3"/>
        <v>0</v>
      </c>
      <c r="AQ12" s="114"/>
    </row>
    <row r="13" spans="1:43">
      <c r="A13" s="114"/>
      <c r="B13" s="115"/>
      <c r="C13" s="116"/>
      <c r="D13" s="116"/>
      <c r="E13" s="116"/>
      <c r="F13" s="116"/>
      <c r="G13" s="203" t="b">
        <f>(IF(F13="Consultant", "enter manually", (IF(C13="W", 'Project Wide Estimates'!$H$12*'Project Wide Estimates'!$E$31, (IF(C13="N", ('Project Wide Estimates'!$H$13+'Project Wide Estimates'!$F$13)*'Project Wide Estimates'!$E$31, (IF('Individual Parcel Estimate'!C13="I", ('Project Wide Estimates'!$H$14+'Project Wide Estimates'!$F$14)*'Project Wide Estimates'!$E$31, (IF('Individual Parcel Estimate'!C13="II", ('Project Wide Estimates'!$H$15+'Project Wide Estimates'!$F$15)*'Project Wide Estimates'!$E$31, (IF('Individual Parcel Estimate'!C13="M", ('Project Wide Estimates'!$H$16+'Project Wide Estimates'!$F$16)*'Project Wide Estimates'!$E$31, (IF('Individual Parcel Estimate'!C13="MI", ('Project Wide Estimates'!$H$17+'Project Wide Estimates'!$F$17)*'Project Wide Estimates'!$E$31, (IF('Individual Parcel Estimate'!C13="C", ('Project Wide Estimates'!$H$18+'Project Wide Estimates'!$F$18)*'Project Wide Estimates'!$E$31, (IF('Individual Parcel Estimate'!C13="CI", ('Project Wide Estimates'!$H$19+'Project Wide Estimates'!$F$19)*'Project Wide Estimates'!$E$31))))))))))))))))))</f>
        <v>0</v>
      </c>
      <c r="H13" s="116"/>
      <c r="I13" s="203" t="b">
        <f>(IF(H13="Consultant","enter manually",(IF(C13="W",('Project Wide Estimates'!$G$12+'Project Wide Estimates'!$I$12+'Project Wide Estimates'!$F$12)*'Project Wide Estimates'!$E$31,(IF(C13="N",('Project Wide Estimates'!$G$13+'Project Wide Estimates'!$I$13)*'Project Wide Estimates'!$E$31,(IF('Individual Parcel Estimate'!C13="I",'Project Wide Estimates'!$I$14*'Project Wide Estimates'!$E$31,(IF('Individual Parcel Estimate'!C13="II",'Project Wide Estimates'!$I$15*'Project Wide Estimates'!$E$31,(IF('Individual Parcel Estimate'!C13="M",'Project Wide Estimates'!$I$16*'Project Wide Estimates'!$E$31,(IF('Individual Parcel Estimate'!C13="MI",'Project Wide Estimates'!$I$17*'Project Wide Estimates'!$E$31,(IF('Individual Parcel Estimate'!C13="C",'Project Wide Estimates'!$I$18*'Project Wide Estimates'!$E$31,(IF('Individual Parcel Estimate'!C13="CI",'Project Wide Estimates'!$I$19*'Project Wide Estimates'!$E$31))))))))))))))))))</f>
        <v>0</v>
      </c>
      <c r="J13" s="116"/>
      <c r="K13" s="203" t="b">
        <f>(IF(J13="Consultant","enter manually",(IF(C13="W","na",(IF(C13="N","na",(IF(C13="I","na",(IF(C13="II",'Project Wide Estimates'!$J$15*'Project Wide Estimates'!$E$31,(IF('Individual Parcel Estimate'!C13="M","na",(IF('Individual Parcel Estimate'!C13="MI",'Project Wide Estimates'!$J$17*'Project Wide Estimates'!$E$31,(IF('Individual Parcel Estimate'!C13="C","na",(IF('Individual Parcel Estimate'!C13="CI",'Project Wide Estimates'!$J$19*'Project Wide Estimates'!$E$31))))))))))))))))))</f>
        <v>0</v>
      </c>
      <c r="L13" s="116"/>
      <c r="M13" s="203" t="b">
        <f>(IF(L13="Consultant","enter manually",(IF(C13="W","na",(IF(C13="N","na",(IF(C13="I","na",(IF(C13="II",'Project Wide Estimates'!$K$15*'Project Wide Estimates'!$E$31,(IF('Individual Parcel Estimate'!C13="M","na",(IF('Individual Parcel Estimate'!C13="MI",'Project Wide Estimates'!$K$17*'Project Wide Estimates'!$E$31,(IF('Individual Parcel Estimate'!C13="C","na",(IF('Individual Parcel Estimate'!C13="CI",'Project Wide Estimates'!$K$19*'Project Wide Estimates'!$E$31))))))))))))))))))</f>
        <v>0</v>
      </c>
      <c r="N13" s="217"/>
      <c r="O13" s="217"/>
      <c r="P13" s="203" t="b">
        <f>(IF(C13="W",('Project Wide Estimates'!$D$12+'Project Wide Estimates'!$E$12)*'Project Wide Estimates'!$E$31,(IF(C13="N",('Project Wide Estimates'!$D$13+'Project Wide Estimates'!$E$13)*'Project Wide Estimates'!$E$31,(IF('Individual Parcel Estimate'!C13="I",('Project Wide Estimates'!$D$14+'Project Wide Estimates'!$E$14)*'Project Wide Estimates'!$E$31,(IF('Individual Parcel Estimate'!C13="II",('Project Wide Estimates'!$D$15+'Project Wide Estimates'!$E$15)*'Project Wide Estimates'!$E$31,(IF('Individual Parcel Estimate'!C13="M",('Project Wide Estimates'!$D$16+'Project Wide Estimates'!$E$16)*'Project Wide Estimates'!$E$31,(IF('Individual Parcel Estimate'!C13="MI",('Project Wide Estimates'!$D$17+'Project Wide Estimates'!$E$17)*'Project Wide Estimates'!$E$31,(IF('Individual Parcel Estimate'!C13="C",('Project Wide Estimates'!$D$18+'Project Wide Estimates'!$E$18)*'Project Wide Estimates'!$E$31,(IF('Individual Parcel Estimate'!C13="CI",('Project Wide Estimates'!$D$19+'Project Wide Estimates'!$E$19)*'Project Wide Estimates'!$E$31))))))))))))))))</f>
        <v>0</v>
      </c>
      <c r="Q13" s="318"/>
      <c r="R13" s="114"/>
      <c r="S13" s="203" t="b">
        <f>(IF(U13="Agricultural 1",R13*'Project Wide Estimates'!$Q$15,(IF('Individual Parcel Estimate'!U13="Agricultural 2",'Individual Parcel Estimate'!R13*'Project Wide Estimates'!$Q$16,(IF('Individual Parcel Estimate'!U13="Residential 1",'Individual Parcel Estimate'!R13*'Project Wide Estimates'!$Q$17,(IF('Individual Parcel Estimate'!U13="Residential 2",'Individual Parcel Estimate'!R13*'Project Wide Estimates'!$Q$18,(IF('Individual Parcel Estimate'!U13="Commercial 1",'Individual Parcel Estimate'!R13*'Project Wide Estimates'!$Q$19,(IF('Individual Parcel Estimate'!U13="Commercial 2",'Individual Parcel Estimate'!R13*'Project Wide Estimates'!$Q$20,(IF('Individual Parcel Estimate'!U13="Industrial 1",'Individual Parcel Estimate'!R13*'Project Wide Estimates'!$Q$21,(IF('Individual Parcel Estimate'!U13="Industrial 2",'Individual Parcel Estimate'!R13*'Project Wide Estimates'!$Q$22,(IF('Individual Parcel Estimate'!U13="Other 1",'Individual Parcel Estimate'!R13*'Project Wide Estimates'!$Q$23,(IF('Individual Parcel Estimate'!U13="Other 2",'Individual Parcel Estimate'!R13*'Project Wide Estimates'!$Q$24))))))))))))))))))))</f>
        <v>0</v>
      </c>
      <c r="T13" s="231"/>
      <c r="U13" s="116"/>
      <c r="V13" s="114"/>
      <c r="W13" s="224"/>
      <c r="X13" s="114"/>
      <c r="Y13" s="203" t="b">
        <f>(IF(U13="Agricultural 1",X13*('Project Wide Estimates'!$Q$15*0.1),(IF('Individual Parcel Estimate'!U13="Agricultural 2",'Individual Parcel Estimate'!X13*('Project Wide Estimates'!$Q$16*0.1),(IF('Individual Parcel Estimate'!U13="Residential 1",'Individual Parcel Estimate'!X13*('Project Wide Estimates'!$Q$17*0.1),(IF('Individual Parcel Estimate'!U13="Residential 2",'Individual Parcel Estimate'!X13*('Project Wide Estimates'!$Q$18*0.1),(IF('Individual Parcel Estimate'!U13="Commercial 1",'Individual Parcel Estimate'!X13*('Project Wide Estimates'!$Q$19*0.1),(IF('Individual Parcel Estimate'!U13="Commercial 2",'Individual Parcel Estimate'!X13*('Project Wide Estimates'!$Q$20*0.1),(IF('Individual Parcel Estimate'!U13="Industrial 1",'Individual Parcel Estimate'!X13*('Project Wide Estimates'!$Q$21*0.1),(IF('Individual Parcel Estimate'!U13="Industrial 2",'Individual Parcel Estimate'!X13*('Project Wide Estimates'!$Q$22*0.1),(IF('Individual Parcel Estimate'!U13="Other 1",'Individual Parcel Estimate'!X13*('Project Wide Estimates'!$Q$23*0.1),(IF('Individual Parcel Estimate'!U13="Other 2",'Individual Parcel Estimate'!X13*('Project Wide Estimates'!$Q$24*0.1)))))))))))))))))))))</f>
        <v>0</v>
      </c>
      <c r="Z13" s="203" t="b">
        <f>(IF(U13="Agricultural 1",'Project Wide Estimates'!$Q$15*'Individual Parcel Estimate'!R13, (IF('Individual Parcel Estimate'!U13="Agricultural 2", 'Project Wide Estimates'!$Q$16*'Individual Parcel Estimate'!R13, (IF('Individual Parcel Estimate'!U13="Residential 1", 'Project Wide Estimates'!$Q$17*'Individual Parcel Estimate'!R13, (IF('Individual Parcel Estimate'!U13="Residential 2",'Project Wide Estimates'!$Q$18*'Individual Parcel Estimate'!R13, (IF('Individual Parcel Estimate'!U13="Commercial 1",'Project Wide Estimates'!$Q$19*'Individual Parcel Estimate'!R13, (IF('Individual Parcel Estimate'!U13="Commercial 2", 'Project Wide Estimates'!$Q$20*'Individual Parcel Estimate'!R13, (IF('Individual Parcel Estimate'!U13="Industrial 1", 'Project Wide Estimates'!$Q$21*'Individual Parcel Estimate'!R13, (IF('Individual Parcel Estimate'!U13="Industrial 2", 'Project Wide Estimates'!$Q$22*'Individual Parcel Estimate'!R13, (IF('Individual Parcel Estimate'!U13="Other 1", 'Project Wide Estimates'!$Q$23*'Individual Parcel Estimate'!R13, (IF('Individual Parcel Estimate'!U13="Other 2", 'Project Wide Estimates'!$Q$24*'Individual Parcel Estimate'!R13))))))))))))))))))))</f>
        <v>0</v>
      </c>
      <c r="AA13" s="222">
        <f t="shared" si="4"/>
        <v>0</v>
      </c>
      <c r="AB13" s="203" t="b">
        <f t="shared" si="0"/>
        <v>0</v>
      </c>
      <c r="AC13" s="217"/>
      <c r="AD13" s="217"/>
      <c r="AE13" s="219"/>
      <c r="AF13" s="217"/>
      <c r="AG13" s="217"/>
      <c r="AH13" s="217"/>
      <c r="AI13" s="217"/>
      <c r="AJ13" s="217"/>
      <c r="AK13" s="203">
        <f t="shared" si="1"/>
        <v>0</v>
      </c>
      <c r="AL13" s="203">
        <f t="shared" si="2"/>
        <v>0</v>
      </c>
      <c r="AM13" s="114"/>
      <c r="AN13" s="114"/>
      <c r="AO13" s="114"/>
      <c r="AP13" s="259">
        <f t="shared" si="3"/>
        <v>0</v>
      </c>
      <c r="AQ13" s="114"/>
    </row>
    <row r="14" spans="1:43">
      <c r="A14" s="114"/>
      <c r="B14" s="115"/>
      <c r="C14" s="116"/>
      <c r="D14" s="116"/>
      <c r="E14" s="116"/>
      <c r="F14" s="116"/>
      <c r="G14" s="203" t="b">
        <f>(IF(F14="Consultant", "enter manually", (IF(C14="W", 'Project Wide Estimates'!$H$12*'Project Wide Estimates'!$E$31, (IF(C14="N", ('Project Wide Estimates'!$H$13+'Project Wide Estimates'!$F$13)*'Project Wide Estimates'!$E$31, (IF('Individual Parcel Estimate'!C14="I", ('Project Wide Estimates'!$H$14+'Project Wide Estimates'!$F$14)*'Project Wide Estimates'!$E$31, (IF('Individual Parcel Estimate'!C14="II", ('Project Wide Estimates'!$H$15+'Project Wide Estimates'!$F$15)*'Project Wide Estimates'!$E$31, (IF('Individual Parcel Estimate'!C14="M", ('Project Wide Estimates'!$H$16+'Project Wide Estimates'!$F$16)*'Project Wide Estimates'!$E$31, (IF('Individual Parcel Estimate'!C14="MI", ('Project Wide Estimates'!$H$17+'Project Wide Estimates'!$F$17)*'Project Wide Estimates'!$E$31, (IF('Individual Parcel Estimate'!C14="C", ('Project Wide Estimates'!$H$18+'Project Wide Estimates'!$F$18)*'Project Wide Estimates'!$E$31, (IF('Individual Parcel Estimate'!C14="CI", ('Project Wide Estimates'!$H$19+'Project Wide Estimates'!$F$19)*'Project Wide Estimates'!$E$31))))))))))))))))))</f>
        <v>0</v>
      </c>
      <c r="H14" s="116"/>
      <c r="I14" s="203" t="b">
        <f>(IF(H14="Consultant","enter manually",(IF(C14="W",('Project Wide Estimates'!$G$12+'Project Wide Estimates'!$I$12+'Project Wide Estimates'!$F$12)*'Project Wide Estimates'!$E$31,(IF(C14="N",('Project Wide Estimates'!$G$13+'Project Wide Estimates'!$I$13)*'Project Wide Estimates'!$E$31,(IF('Individual Parcel Estimate'!C14="I",'Project Wide Estimates'!$I$14*'Project Wide Estimates'!$E$31,(IF('Individual Parcel Estimate'!C14="II",'Project Wide Estimates'!$I$15*'Project Wide Estimates'!$E$31,(IF('Individual Parcel Estimate'!C14="M",'Project Wide Estimates'!$I$16*'Project Wide Estimates'!$E$31,(IF('Individual Parcel Estimate'!C14="MI",'Project Wide Estimates'!$I$17*'Project Wide Estimates'!$E$31,(IF('Individual Parcel Estimate'!C14="C",'Project Wide Estimates'!$I$18*'Project Wide Estimates'!$E$31,(IF('Individual Parcel Estimate'!C14="CI",'Project Wide Estimates'!$I$19*'Project Wide Estimates'!$E$31))))))))))))))))))</f>
        <v>0</v>
      </c>
      <c r="J14" s="116"/>
      <c r="K14" s="203" t="b">
        <f>(IF(J14="Consultant","enter manually",(IF(C14="W","na",(IF(C14="N","na",(IF(C14="I","na",(IF(C14="II",'Project Wide Estimates'!$J$15*'Project Wide Estimates'!$E$31,(IF('Individual Parcel Estimate'!C14="M","na",(IF('Individual Parcel Estimate'!C14="MI",'Project Wide Estimates'!$J$17*'Project Wide Estimates'!$E$31,(IF('Individual Parcel Estimate'!C14="C","na",(IF('Individual Parcel Estimate'!C14="CI",'Project Wide Estimates'!$J$19*'Project Wide Estimates'!$E$31))))))))))))))))))</f>
        <v>0</v>
      </c>
      <c r="L14" s="116"/>
      <c r="M14" s="203" t="b">
        <f>(IF(L14="Consultant","enter manually",(IF(C14="W","na",(IF(C14="N","na",(IF(C14="I","na",(IF(C14="II",'Project Wide Estimates'!$K$15*'Project Wide Estimates'!$E$31,(IF('Individual Parcel Estimate'!C14="M","na",(IF('Individual Parcel Estimate'!C14="MI",'Project Wide Estimates'!$K$17*'Project Wide Estimates'!$E$31,(IF('Individual Parcel Estimate'!C14="C","na",(IF('Individual Parcel Estimate'!C14="CI",'Project Wide Estimates'!$K$19*'Project Wide Estimates'!$E$31))))))))))))))))))</f>
        <v>0</v>
      </c>
      <c r="N14" s="217"/>
      <c r="O14" s="217"/>
      <c r="P14" s="203" t="b">
        <f>(IF(C14="W",('Project Wide Estimates'!$D$12+'Project Wide Estimates'!$E$12)*'Project Wide Estimates'!$E$31,(IF(C14="N",('Project Wide Estimates'!$D$13+'Project Wide Estimates'!$E$13)*'Project Wide Estimates'!$E$31,(IF('Individual Parcel Estimate'!C14="I",('Project Wide Estimates'!$D$14+'Project Wide Estimates'!$E$14)*'Project Wide Estimates'!$E$31,(IF('Individual Parcel Estimate'!C14="II",('Project Wide Estimates'!$D$15+'Project Wide Estimates'!$E$15)*'Project Wide Estimates'!$E$31,(IF('Individual Parcel Estimate'!C14="M",('Project Wide Estimates'!$D$16+'Project Wide Estimates'!$E$16)*'Project Wide Estimates'!$E$31,(IF('Individual Parcel Estimate'!C14="MI",('Project Wide Estimates'!$D$17+'Project Wide Estimates'!$E$17)*'Project Wide Estimates'!$E$31,(IF('Individual Parcel Estimate'!C14="C",('Project Wide Estimates'!$D$18+'Project Wide Estimates'!$E$18)*'Project Wide Estimates'!$E$31,(IF('Individual Parcel Estimate'!C14="CI",('Project Wide Estimates'!$D$19+'Project Wide Estimates'!$E$19)*'Project Wide Estimates'!$E$31))))))))))))))))</f>
        <v>0</v>
      </c>
      <c r="Q14" s="318"/>
      <c r="R14" s="114"/>
      <c r="S14" s="203" t="b">
        <f>(IF(U14="Agricultural 1",R14*'Project Wide Estimates'!$Q$15,(IF('Individual Parcel Estimate'!U14="Agricultural 2",'Individual Parcel Estimate'!R14*'Project Wide Estimates'!$Q$16,(IF('Individual Parcel Estimate'!U14="Residential 1",'Individual Parcel Estimate'!R14*'Project Wide Estimates'!$Q$17,(IF('Individual Parcel Estimate'!U14="Residential 2",'Individual Parcel Estimate'!R14*'Project Wide Estimates'!$Q$18,(IF('Individual Parcel Estimate'!U14="Commercial 1",'Individual Parcel Estimate'!R14*'Project Wide Estimates'!$Q$19,(IF('Individual Parcel Estimate'!U14="Commercial 2",'Individual Parcel Estimate'!R14*'Project Wide Estimates'!$Q$20,(IF('Individual Parcel Estimate'!U14="Industrial 1",'Individual Parcel Estimate'!R14*'Project Wide Estimates'!$Q$21,(IF('Individual Parcel Estimate'!U14="Industrial 2",'Individual Parcel Estimate'!R14*'Project Wide Estimates'!$Q$22,(IF('Individual Parcel Estimate'!U14="Other 1",'Individual Parcel Estimate'!R14*'Project Wide Estimates'!$Q$23,(IF('Individual Parcel Estimate'!U14="Other 2",'Individual Parcel Estimate'!R14*'Project Wide Estimates'!$Q$24))))))))))))))))))))</f>
        <v>0</v>
      </c>
      <c r="T14" s="231"/>
      <c r="U14" s="116"/>
      <c r="V14" s="114"/>
      <c r="W14" s="224"/>
      <c r="X14" s="114"/>
      <c r="Y14" s="203" t="b">
        <f>(IF(U14="Agricultural 1",X14*('Project Wide Estimates'!$Q$15*0.1),(IF('Individual Parcel Estimate'!U14="Agricultural 2",'Individual Parcel Estimate'!X14*('Project Wide Estimates'!$Q$16*0.1),(IF('Individual Parcel Estimate'!U14="Residential 1",'Individual Parcel Estimate'!X14*('Project Wide Estimates'!$Q$17*0.1),(IF('Individual Parcel Estimate'!U14="Residential 2",'Individual Parcel Estimate'!X14*('Project Wide Estimates'!$Q$18*0.1),(IF('Individual Parcel Estimate'!U14="Commercial 1",'Individual Parcel Estimate'!X14*('Project Wide Estimates'!$Q$19*0.1),(IF('Individual Parcel Estimate'!U14="Commercial 2",'Individual Parcel Estimate'!X14*('Project Wide Estimates'!$Q$20*0.1),(IF('Individual Parcel Estimate'!U14="Industrial 1",'Individual Parcel Estimate'!X14*('Project Wide Estimates'!$Q$21*0.1),(IF('Individual Parcel Estimate'!U14="Industrial 2",'Individual Parcel Estimate'!X14*('Project Wide Estimates'!$Q$22*0.1),(IF('Individual Parcel Estimate'!U14="Other 1",'Individual Parcel Estimate'!X14*('Project Wide Estimates'!$Q$23*0.1),(IF('Individual Parcel Estimate'!U14="Other 2",'Individual Parcel Estimate'!X14*('Project Wide Estimates'!$Q$24*0.1)))))))))))))))))))))</f>
        <v>0</v>
      </c>
      <c r="Z14" s="203" t="b">
        <f>(IF(U14="Agricultural 1",'Project Wide Estimates'!$Q$15*'Individual Parcel Estimate'!R14, (IF('Individual Parcel Estimate'!U14="Agricultural 2", 'Project Wide Estimates'!$Q$16*'Individual Parcel Estimate'!R14, (IF('Individual Parcel Estimate'!U14="Residential 1", 'Project Wide Estimates'!$Q$17*'Individual Parcel Estimate'!R14, (IF('Individual Parcel Estimate'!U14="Residential 2",'Project Wide Estimates'!$Q$18*'Individual Parcel Estimate'!R14, (IF('Individual Parcel Estimate'!U14="Commercial 1",'Project Wide Estimates'!$Q$19*'Individual Parcel Estimate'!R14, (IF('Individual Parcel Estimate'!U14="Commercial 2", 'Project Wide Estimates'!$Q$20*'Individual Parcel Estimate'!R14, (IF('Individual Parcel Estimate'!U14="Industrial 1", 'Project Wide Estimates'!$Q$21*'Individual Parcel Estimate'!R14, (IF('Individual Parcel Estimate'!U14="Industrial 2", 'Project Wide Estimates'!$Q$22*'Individual Parcel Estimate'!R14, (IF('Individual Parcel Estimate'!U14="Other 1", 'Project Wide Estimates'!$Q$23*'Individual Parcel Estimate'!R14, (IF('Individual Parcel Estimate'!U14="Other 2", 'Project Wide Estimates'!$Q$24*'Individual Parcel Estimate'!R14))))))))))))))))))))</f>
        <v>0</v>
      </c>
      <c r="AA14" s="222">
        <f t="shared" si="4"/>
        <v>0</v>
      </c>
      <c r="AB14" s="203" t="b">
        <f t="shared" si="0"/>
        <v>0</v>
      </c>
      <c r="AC14" s="217"/>
      <c r="AD14" s="217"/>
      <c r="AE14" s="219"/>
      <c r="AF14" s="217"/>
      <c r="AG14" s="217"/>
      <c r="AH14" s="217"/>
      <c r="AI14" s="217"/>
      <c r="AJ14" s="217"/>
      <c r="AK14" s="203">
        <f t="shared" si="1"/>
        <v>0</v>
      </c>
      <c r="AL14" s="203">
        <f t="shared" si="2"/>
        <v>0</v>
      </c>
      <c r="AM14" s="114"/>
      <c r="AN14" s="114"/>
      <c r="AO14" s="114"/>
      <c r="AP14" s="259">
        <f t="shared" si="3"/>
        <v>0</v>
      </c>
      <c r="AQ14" s="114"/>
    </row>
    <row r="15" spans="1:43">
      <c r="A15" s="114"/>
      <c r="B15" s="115"/>
      <c r="C15" s="116"/>
      <c r="D15" s="116"/>
      <c r="E15" s="116"/>
      <c r="F15" s="116"/>
      <c r="G15" s="203" t="b">
        <f>(IF(F15="Consultant", "enter manually", (IF(C15="W", 'Project Wide Estimates'!$H$12*'Project Wide Estimates'!$E$31, (IF(C15="N", ('Project Wide Estimates'!$H$13+'Project Wide Estimates'!$F$13)*'Project Wide Estimates'!$E$31, (IF('Individual Parcel Estimate'!C15="I", ('Project Wide Estimates'!$H$14+'Project Wide Estimates'!$F$14)*'Project Wide Estimates'!$E$31, (IF('Individual Parcel Estimate'!C15="II", ('Project Wide Estimates'!$H$15+'Project Wide Estimates'!$F$15)*'Project Wide Estimates'!$E$31, (IF('Individual Parcel Estimate'!C15="M", ('Project Wide Estimates'!$H$16+'Project Wide Estimates'!$F$16)*'Project Wide Estimates'!$E$31, (IF('Individual Parcel Estimate'!C15="MI", ('Project Wide Estimates'!$H$17+'Project Wide Estimates'!$F$17)*'Project Wide Estimates'!$E$31, (IF('Individual Parcel Estimate'!C15="C", ('Project Wide Estimates'!$H$18+'Project Wide Estimates'!$F$18)*'Project Wide Estimates'!$E$31, (IF('Individual Parcel Estimate'!C15="CI", ('Project Wide Estimates'!$H$19+'Project Wide Estimates'!$F$19)*'Project Wide Estimates'!$E$31))))))))))))))))))</f>
        <v>0</v>
      </c>
      <c r="H15" s="116"/>
      <c r="I15" s="203" t="b">
        <f>(IF(H15="Consultant","enter manually",(IF(C15="W",('Project Wide Estimates'!$G$12+'Project Wide Estimates'!$I$12+'Project Wide Estimates'!$F$12)*'Project Wide Estimates'!$E$31,(IF(C15="N",('Project Wide Estimates'!$G$13+'Project Wide Estimates'!$I$13)*'Project Wide Estimates'!$E$31,(IF('Individual Parcel Estimate'!C15="I",'Project Wide Estimates'!$I$14*'Project Wide Estimates'!$E$31,(IF('Individual Parcel Estimate'!C15="II",'Project Wide Estimates'!$I$15*'Project Wide Estimates'!$E$31,(IF('Individual Parcel Estimate'!C15="M",'Project Wide Estimates'!$I$16*'Project Wide Estimates'!$E$31,(IF('Individual Parcel Estimate'!C15="MI",'Project Wide Estimates'!$I$17*'Project Wide Estimates'!$E$31,(IF('Individual Parcel Estimate'!C15="C",'Project Wide Estimates'!$I$18*'Project Wide Estimates'!$E$31,(IF('Individual Parcel Estimate'!C15="CI",'Project Wide Estimates'!$I$19*'Project Wide Estimates'!$E$31))))))))))))))))))</f>
        <v>0</v>
      </c>
      <c r="J15" s="116"/>
      <c r="K15" s="203" t="b">
        <f>(IF(J15="Consultant","enter manually",(IF(C15="W","na",(IF(C15="N","na",(IF(C15="I","na",(IF(C15="II",'Project Wide Estimates'!$J$15*'Project Wide Estimates'!$E$31,(IF('Individual Parcel Estimate'!C15="M","na",(IF('Individual Parcel Estimate'!C15="MI",'Project Wide Estimates'!$J$17*'Project Wide Estimates'!$E$31,(IF('Individual Parcel Estimate'!C15="C","na",(IF('Individual Parcel Estimate'!C15="CI",'Project Wide Estimates'!$J$19*'Project Wide Estimates'!$E$31))))))))))))))))))</f>
        <v>0</v>
      </c>
      <c r="L15" s="116"/>
      <c r="M15" s="203" t="b">
        <f>(IF(L15="Consultant","enter manually",(IF(C15="W","na",(IF(C15="N","na",(IF(C15="I","na",(IF(C15="II",'Project Wide Estimates'!$K$15*'Project Wide Estimates'!$E$31,(IF('Individual Parcel Estimate'!C15="M","na",(IF('Individual Parcel Estimate'!C15="MI",'Project Wide Estimates'!$K$17*'Project Wide Estimates'!$E$31,(IF('Individual Parcel Estimate'!C15="C","na",(IF('Individual Parcel Estimate'!C15="CI",'Project Wide Estimates'!$K$19*'Project Wide Estimates'!$E$31))))))))))))))))))</f>
        <v>0</v>
      </c>
      <c r="N15" s="217"/>
      <c r="O15" s="217"/>
      <c r="P15" s="203" t="b">
        <f>(IF(C15="W",('Project Wide Estimates'!$D$12+'Project Wide Estimates'!$E$12)*'Project Wide Estimates'!$E$31,(IF(C15="N",('Project Wide Estimates'!$D$13+'Project Wide Estimates'!$E$13)*'Project Wide Estimates'!$E$31,(IF('Individual Parcel Estimate'!C15="I",('Project Wide Estimates'!$D$14+'Project Wide Estimates'!$E$14)*'Project Wide Estimates'!$E$31,(IF('Individual Parcel Estimate'!C15="II",('Project Wide Estimates'!$D$15+'Project Wide Estimates'!$E$15)*'Project Wide Estimates'!$E$31,(IF('Individual Parcel Estimate'!C15="M",('Project Wide Estimates'!$D$16+'Project Wide Estimates'!$E$16)*'Project Wide Estimates'!$E$31,(IF('Individual Parcel Estimate'!C15="MI",('Project Wide Estimates'!$D$17+'Project Wide Estimates'!$E$17)*'Project Wide Estimates'!$E$31,(IF('Individual Parcel Estimate'!C15="C",('Project Wide Estimates'!$D$18+'Project Wide Estimates'!$E$18)*'Project Wide Estimates'!$E$31,(IF('Individual Parcel Estimate'!C15="CI",('Project Wide Estimates'!$D$19+'Project Wide Estimates'!$E$19)*'Project Wide Estimates'!$E$31))))))))))))))))</f>
        <v>0</v>
      </c>
      <c r="Q15" s="318"/>
      <c r="R15" s="114"/>
      <c r="S15" s="203" t="b">
        <f>(IF(U15="Agricultural 1",R15*'Project Wide Estimates'!$Q$15,(IF('Individual Parcel Estimate'!U15="Agricultural 2",'Individual Parcel Estimate'!R15*'Project Wide Estimates'!$Q$16,(IF('Individual Parcel Estimate'!U15="Residential 1",'Individual Parcel Estimate'!R15*'Project Wide Estimates'!$Q$17,(IF('Individual Parcel Estimate'!U15="Residential 2",'Individual Parcel Estimate'!R15*'Project Wide Estimates'!$Q$18,(IF('Individual Parcel Estimate'!U15="Commercial 1",'Individual Parcel Estimate'!R15*'Project Wide Estimates'!$Q$19,(IF('Individual Parcel Estimate'!U15="Commercial 2",'Individual Parcel Estimate'!R15*'Project Wide Estimates'!$Q$20,(IF('Individual Parcel Estimate'!U15="Industrial 1",'Individual Parcel Estimate'!R15*'Project Wide Estimates'!$Q$21,(IF('Individual Parcel Estimate'!U15="Industrial 2",'Individual Parcel Estimate'!R15*'Project Wide Estimates'!$Q$22,(IF('Individual Parcel Estimate'!U15="Other 1",'Individual Parcel Estimate'!R15*'Project Wide Estimates'!$Q$23,(IF('Individual Parcel Estimate'!U15="Other 2",'Individual Parcel Estimate'!R15*'Project Wide Estimates'!$Q$24))))))))))))))))))))</f>
        <v>0</v>
      </c>
      <c r="T15" s="231"/>
      <c r="U15" s="116"/>
      <c r="V15" s="114"/>
      <c r="W15" s="224"/>
      <c r="X15" s="114"/>
      <c r="Y15" s="203" t="b">
        <f>(IF(U15="Agricultural 1",X15*('Project Wide Estimates'!$Q$15*0.1),(IF('Individual Parcel Estimate'!U15="Agricultural 2",'Individual Parcel Estimate'!X15*('Project Wide Estimates'!$Q$16*0.1),(IF('Individual Parcel Estimate'!U15="Residential 1",'Individual Parcel Estimate'!X15*('Project Wide Estimates'!$Q$17*0.1),(IF('Individual Parcel Estimate'!U15="Residential 2",'Individual Parcel Estimate'!X15*('Project Wide Estimates'!$Q$18*0.1),(IF('Individual Parcel Estimate'!U15="Commercial 1",'Individual Parcel Estimate'!X15*('Project Wide Estimates'!$Q$19*0.1),(IF('Individual Parcel Estimate'!U15="Commercial 2",'Individual Parcel Estimate'!X15*('Project Wide Estimates'!$Q$20*0.1),(IF('Individual Parcel Estimate'!U15="Industrial 1",'Individual Parcel Estimate'!X15*('Project Wide Estimates'!$Q$21*0.1),(IF('Individual Parcel Estimate'!U15="Industrial 2",'Individual Parcel Estimate'!X15*('Project Wide Estimates'!$Q$22*0.1),(IF('Individual Parcel Estimate'!U15="Other 1",'Individual Parcel Estimate'!X15*('Project Wide Estimates'!$Q$23*0.1),(IF('Individual Parcel Estimate'!U15="Other 2",'Individual Parcel Estimate'!X15*('Project Wide Estimates'!$Q$24*0.1)))))))))))))))))))))</f>
        <v>0</v>
      </c>
      <c r="Z15" s="203" t="b">
        <f>(IF(U15="Agricultural 1",'Project Wide Estimates'!$Q$15*'Individual Parcel Estimate'!R15, (IF('Individual Parcel Estimate'!U15="Agricultural 2", 'Project Wide Estimates'!$Q$16*'Individual Parcel Estimate'!R15, (IF('Individual Parcel Estimate'!U15="Residential 1", 'Project Wide Estimates'!$Q$17*'Individual Parcel Estimate'!R15, (IF('Individual Parcel Estimate'!U15="Residential 2",'Project Wide Estimates'!$Q$18*'Individual Parcel Estimate'!R15, (IF('Individual Parcel Estimate'!U15="Commercial 1",'Project Wide Estimates'!$Q$19*'Individual Parcel Estimate'!R15, (IF('Individual Parcel Estimate'!U15="Commercial 2", 'Project Wide Estimates'!$Q$20*'Individual Parcel Estimate'!R15, (IF('Individual Parcel Estimate'!U15="Industrial 1", 'Project Wide Estimates'!$Q$21*'Individual Parcel Estimate'!R15, (IF('Individual Parcel Estimate'!U15="Industrial 2", 'Project Wide Estimates'!$Q$22*'Individual Parcel Estimate'!R15, (IF('Individual Parcel Estimate'!U15="Other 1", 'Project Wide Estimates'!$Q$23*'Individual Parcel Estimate'!R15, (IF('Individual Parcel Estimate'!U15="Other 2", 'Project Wide Estimates'!$Q$24*'Individual Parcel Estimate'!R15))))))))))))))))))))</f>
        <v>0</v>
      </c>
      <c r="AA15" s="222">
        <f t="shared" si="4"/>
        <v>0</v>
      </c>
      <c r="AB15" s="203" t="b">
        <f t="shared" si="0"/>
        <v>0</v>
      </c>
      <c r="AC15" s="217"/>
      <c r="AD15" s="217"/>
      <c r="AE15" s="219"/>
      <c r="AF15" s="217"/>
      <c r="AG15" s="217"/>
      <c r="AH15" s="217"/>
      <c r="AI15" s="217"/>
      <c r="AJ15" s="217"/>
      <c r="AK15" s="203">
        <f t="shared" si="1"/>
        <v>0</v>
      </c>
      <c r="AL15" s="203">
        <f t="shared" si="2"/>
        <v>0</v>
      </c>
      <c r="AM15" s="114"/>
      <c r="AN15" s="114"/>
      <c r="AO15" s="114"/>
      <c r="AP15" s="259">
        <f t="shared" si="3"/>
        <v>0</v>
      </c>
      <c r="AQ15" s="114"/>
    </row>
    <row r="16" spans="1:43">
      <c r="A16" s="114"/>
      <c r="B16" s="115"/>
      <c r="C16" s="116"/>
      <c r="D16" s="116"/>
      <c r="E16" s="116"/>
      <c r="F16" s="116"/>
      <c r="G16" s="203" t="b">
        <f>(IF(F16="Consultant", "enter manually", (IF(C16="W", 'Project Wide Estimates'!$H$12*'Project Wide Estimates'!$E$31, (IF(C16="N", ('Project Wide Estimates'!$H$13+'Project Wide Estimates'!$F$13)*'Project Wide Estimates'!$E$31, (IF('Individual Parcel Estimate'!C16="I", ('Project Wide Estimates'!$H$14+'Project Wide Estimates'!$F$14)*'Project Wide Estimates'!$E$31, (IF('Individual Parcel Estimate'!C16="II", ('Project Wide Estimates'!$H$15+'Project Wide Estimates'!$F$15)*'Project Wide Estimates'!$E$31, (IF('Individual Parcel Estimate'!C16="M", ('Project Wide Estimates'!$H$16+'Project Wide Estimates'!$F$16)*'Project Wide Estimates'!$E$31, (IF('Individual Parcel Estimate'!C16="MI", ('Project Wide Estimates'!$H$17+'Project Wide Estimates'!$F$17)*'Project Wide Estimates'!$E$31, (IF('Individual Parcel Estimate'!C16="C", ('Project Wide Estimates'!$H$18+'Project Wide Estimates'!$F$18)*'Project Wide Estimates'!$E$31, (IF('Individual Parcel Estimate'!C16="CI", ('Project Wide Estimates'!$H$19+'Project Wide Estimates'!$F$19)*'Project Wide Estimates'!$E$31))))))))))))))))))</f>
        <v>0</v>
      </c>
      <c r="H16" s="116"/>
      <c r="I16" s="203" t="b">
        <f>(IF(H16="Consultant","enter manually",(IF(C16="W",('Project Wide Estimates'!$G$12+'Project Wide Estimates'!$I$12+'Project Wide Estimates'!$F$12)*'Project Wide Estimates'!$E$31,(IF(C16="N",('Project Wide Estimates'!$G$13+'Project Wide Estimates'!$I$13)*'Project Wide Estimates'!$E$31,(IF('Individual Parcel Estimate'!C16="I",'Project Wide Estimates'!$I$14*'Project Wide Estimates'!$E$31,(IF('Individual Parcel Estimate'!C16="II",'Project Wide Estimates'!$I$15*'Project Wide Estimates'!$E$31,(IF('Individual Parcel Estimate'!C16="M",'Project Wide Estimates'!$I$16*'Project Wide Estimates'!$E$31,(IF('Individual Parcel Estimate'!C16="MI",'Project Wide Estimates'!$I$17*'Project Wide Estimates'!$E$31,(IF('Individual Parcel Estimate'!C16="C",'Project Wide Estimates'!$I$18*'Project Wide Estimates'!$E$31,(IF('Individual Parcel Estimate'!C16="CI",'Project Wide Estimates'!$I$19*'Project Wide Estimates'!$E$31))))))))))))))))))</f>
        <v>0</v>
      </c>
      <c r="J16" s="116"/>
      <c r="K16" s="203" t="b">
        <f>(IF(J16="Consultant","enter manually",(IF(C16="W","na",(IF(C16="N","na",(IF(C16="I","na",(IF(C16="II",'Project Wide Estimates'!$J$15*'Project Wide Estimates'!$E$31,(IF('Individual Parcel Estimate'!C16="M","na",(IF('Individual Parcel Estimate'!C16="MI",'Project Wide Estimates'!$J$17*'Project Wide Estimates'!$E$31,(IF('Individual Parcel Estimate'!C16="C","na",(IF('Individual Parcel Estimate'!C16="CI",'Project Wide Estimates'!$J$19*'Project Wide Estimates'!$E$31))))))))))))))))))</f>
        <v>0</v>
      </c>
      <c r="L16" s="116"/>
      <c r="M16" s="203" t="b">
        <f>(IF(L16="Consultant","enter manually",(IF(C16="W","na",(IF(C16="N","na",(IF(C16="I","na",(IF(C16="II",'Project Wide Estimates'!$K$15*'Project Wide Estimates'!$E$31,(IF('Individual Parcel Estimate'!C16="M","na",(IF('Individual Parcel Estimate'!C16="MI",'Project Wide Estimates'!$K$17*'Project Wide Estimates'!$E$31,(IF('Individual Parcel Estimate'!C16="C","na",(IF('Individual Parcel Estimate'!C16="CI",'Project Wide Estimates'!$K$19*'Project Wide Estimates'!$E$31))))))))))))))))))</f>
        <v>0</v>
      </c>
      <c r="N16" s="217"/>
      <c r="O16" s="217"/>
      <c r="P16" s="203" t="b">
        <f>(IF(C16="W",('Project Wide Estimates'!$D$12+'Project Wide Estimates'!$E$12)*'Project Wide Estimates'!$E$31,(IF(C16="N",('Project Wide Estimates'!$D$13+'Project Wide Estimates'!$E$13)*'Project Wide Estimates'!$E$31,(IF('Individual Parcel Estimate'!C16="I",('Project Wide Estimates'!$D$14+'Project Wide Estimates'!$E$14)*'Project Wide Estimates'!$E$31,(IF('Individual Parcel Estimate'!C16="II",('Project Wide Estimates'!$D$15+'Project Wide Estimates'!$E$15)*'Project Wide Estimates'!$E$31,(IF('Individual Parcel Estimate'!C16="M",('Project Wide Estimates'!$D$16+'Project Wide Estimates'!$E$16)*'Project Wide Estimates'!$E$31,(IF('Individual Parcel Estimate'!C16="MI",('Project Wide Estimates'!$D$17+'Project Wide Estimates'!$E$17)*'Project Wide Estimates'!$E$31,(IF('Individual Parcel Estimate'!C16="C",('Project Wide Estimates'!$D$18+'Project Wide Estimates'!$E$18)*'Project Wide Estimates'!$E$31,(IF('Individual Parcel Estimate'!C16="CI",('Project Wide Estimates'!$D$19+'Project Wide Estimates'!$E$19)*'Project Wide Estimates'!$E$31))))))))))))))))</f>
        <v>0</v>
      </c>
      <c r="Q16" s="318"/>
      <c r="R16" s="114"/>
      <c r="S16" s="203" t="b">
        <f>(IF(U16="Agricultural 1",R16*'Project Wide Estimates'!$Q$15,(IF('Individual Parcel Estimate'!U16="Agricultural 2",'Individual Parcel Estimate'!R16*'Project Wide Estimates'!$Q$16,(IF('Individual Parcel Estimate'!U16="Residential 1",'Individual Parcel Estimate'!R16*'Project Wide Estimates'!$Q$17,(IF('Individual Parcel Estimate'!U16="Residential 2",'Individual Parcel Estimate'!R16*'Project Wide Estimates'!$Q$18,(IF('Individual Parcel Estimate'!U16="Commercial 1",'Individual Parcel Estimate'!R16*'Project Wide Estimates'!$Q$19,(IF('Individual Parcel Estimate'!U16="Commercial 2",'Individual Parcel Estimate'!R16*'Project Wide Estimates'!$Q$20,(IF('Individual Parcel Estimate'!U16="Industrial 1",'Individual Parcel Estimate'!R16*'Project Wide Estimates'!$Q$21,(IF('Individual Parcel Estimate'!U16="Industrial 2",'Individual Parcel Estimate'!R16*'Project Wide Estimates'!$Q$22,(IF('Individual Parcel Estimate'!U16="Other 1",'Individual Parcel Estimate'!R16*'Project Wide Estimates'!$Q$23,(IF('Individual Parcel Estimate'!U16="Other 2",'Individual Parcel Estimate'!R16*'Project Wide Estimates'!$Q$24))))))))))))))))))))</f>
        <v>0</v>
      </c>
      <c r="T16" s="231"/>
      <c r="U16" s="116"/>
      <c r="V16" s="114"/>
      <c r="W16" s="224"/>
      <c r="X16" s="114"/>
      <c r="Y16" s="203" t="b">
        <f>(IF(U16="Agricultural 1",X16*('Project Wide Estimates'!$Q$15*0.1),(IF('Individual Parcel Estimate'!U16="Agricultural 2",'Individual Parcel Estimate'!X16*('Project Wide Estimates'!$Q$16*0.1),(IF('Individual Parcel Estimate'!U16="Residential 1",'Individual Parcel Estimate'!X16*('Project Wide Estimates'!$Q$17*0.1),(IF('Individual Parcel Estimate'!U16="Residential 2",'Individual Parcel Estimate'!X16*('Project Wide Estimates'!$Q$18*0.1),(IF('Individual Parcel Estimate'!U16="Commercial 1",'Individual Parcel Estimate'!X16*('Project Wide Estimates'!$Q$19*0.1),(IF('Individual Parcel Estimate'!U16="Commercial 2",'Individual Parcel Estimate'!X16*('Project Wide Estimates'!$Q$20*0.1),(IF('Individual Parcel Estimate'!U16="Industrial 1",'Individual Parcel Estimate'!X16*('Project Wide Estimates'!$Q$21*0.1),(IF('Individual Parcel Estimate'!U16="Industrial 2",'Individual Parcel Estimate'!X16*('Project Wide Estimates'!$Q$22*0.1),(IF('Individual Parcel Estimate'!U16="Other 1",'Individual Parcel Estimate'!X16*('Project Wide Estimates'!$Q$23*0.1),(IF('Individual Parcel Estimate'!U16="Other 2",'Individual Parcel Estimate'!X16*('Project Wide Estimates'!$Q$24*0.1)))))))))))))))))))))</f>
        <v>0</v>
      </c>
      <c r="Z16" s="203" t="b">
        <f>(IF(U16="Agricultural 1",'Project Wide Estimates'!$Q$15*'Individual Parcel Estimate'!R16, (IF('Individual Parcel Estimate'!U16="Agricultural 2", 'Project Wide Estimates'!$Q$16*'Individual Parcel Estimate'!R16, (IF('Individual Parcel Estimate'!U16="Residential 1", 'Project Wide Estimates'!$Q$17*'Individual Parcel Estimate'!R16, (IF('Individual Parcel Estimate'!U16="Residential 2",'Project Wide Estimates'!$Q$18*'Individual Parcel Estimate'!R16, (IF('Individual Parcel Estimate'!U16="Commercial 1",'Project Wide Estimates'!$Q$19*'Individual Parcel Estimate'!R16, (IF('Individual Parcel Estimate'!U16="Commercial 2", 'Project Wide Estimates'!$Q$20*'Individual Parcel Estimate'!R16, (IF('Individual Parcel Estimate'!U16="Industrial 1", 'Project Wide Estimates'!$Q$21*'Individual Parcel Estimate'!R16, (IF('Individual Parcel Estimate'!U16="Industrial 2", 'Project Wide Estimates'!$Q$22*'Individual Parcel Estimate'!R16, (IF('Individual Parcel Estimate'!U16="Other 1", 'Project Wide Estimates'!$Q$23*'Individual Parcel Estimate'!R16, (IF('Individual Parcel Estimate'!U16="Other 2", 'Project Wide Estimates'!$Q$24*'Individual Parcel Estimate'!R16))))))))))))))))))))</f>
        <v>0</v>
      </c>
      <c r="AA16" s="222">
        <f t="shared" si="4"/>
        <v>0</v>
      </c>
      <c r="AB16" s="203" t="b">
        <f t="shared" si="0"/>
        <v>0</v>
      </c>
      <c r="AC16" s="217"/>
      <c r="AD16" s="217"/>
      <c r="AE16" s="219"/>
      <c r="AF16" s="217"/>
      <c r="AG16" s="217"/>
      <c r="AH16" s="217"/>
      <c r="AI16" s="217"/>
      <c r="AJ16" s="217"/>
      <c r="AK16" s="203">
        <f t="shared" si="1"/>
        <v>0</v>
      </c>
      <c r="AL16" s="203">
        <f t="shared" si="2"/>
        <v>0</v>
      </c>
      <c r="AM16" s="114"/>
      <c r="AN16" s="114"/>
      <c r="AO16" s="114"/>
      <c r="AP16" s="259">
        <f t="shared" si="3"/>
        <v>0</v>
      </c>
      <c r="AQ16" s="114"/>
    </row>
    <row r="17" spans="1:43">
      <c r="A17" s="114"/>
      <c r="B17" s="115"/>
      <c r="C17" s="116"/>
      <c r="D17" s="116"/>
      <c r="E17" s="116"/>
      <c r="F17" s="116"/>
      <c r="G17" s="203" t="b">
        <f>(IF(F17="Consultant", "enter manually", (IF(C17="W", 'Project Wide Estimates'!$H$12*'Project Wide Estimates'!$E$31, (IF(C17="N", ('Project Wide Estimates'!$H$13+'Project Wide Estimates'!$F$13)*'Project Wide Estimates'!$E$31, (IF('Individual Parcel Estimate'!C17="I", ('Project Wide Estimates'!$H$14+'Project Wide Estimates'!$F$14)*'Project Wide Estimates'!$E$31, (IF('Individual Parcel Estimate'!C17="II", ('Project Wide Estimates'!$H$15+'Project Wide Estimates'!$F$15)*'Project Wide Estimates'!$E$31, (IF('Individual Parcel Estimate'!C17="M", ('Project Wide Estimates'!$H$16+'Project Wide Estimates'!$F$16)*'Project Wide Estimates'!$E$31, (IF('Individual Parcel Estimate'!C17="MI", ('Project Wide Estimates'!$H$17+'Project Wide Estimates'!$F$17)*'Project Wide Estimates'!$E$31, (IF('Individual Parcel Estimate'!C17="C", ('Project Wide Estimates'!$H$18+'Project Wide Estimates'!$F$18)*'Project Wide Estimates'!$E$31, (IF('Individual Parcel Estimate'!C17="CI", ('Project Wide Estimates'!$H$19+'Project Wide Estimates'!$F$19)*'Project Wide Estimates'!$E$31))))))))))))))))))</f>
        <v>0</v>
      </c>
      <c r="H17" s="116"/>
      <c r="I17" s="203" t="b">
        <f>(IF(H17="Consultant","enter manually",(IF(C17="W",('Project Wide Estimates'!$G$12+'Project Wide Estimates'!$I$12+'Project Wide Estimates'!$F$12)*'Project Wide Estimates'!$E$31,(IF(C17="N",('Project Wide Estimates'!$G$13+'Project Wide Estimates'!$I$13)*'Project Wide Estimates'!$E$31,(IF('Individual Parcel Estimate'!C17="I",'Project Wide Estimates'!$I$14*'Project Wide Estimates'!$E$31,(IF('Individual Parcel Estimate'!C17="II",'Project Wide Estimates'!$I$15*'Project Wide Estimates'!$E$31,(IF('Individual Parcel Estimate'!C17="M",'Project Wide Estimates'!$I$16*'Project Wide Estimates'!$E$31,(IF('Individual Parcel Estimate'!C17="MI",'Project Wide Estimates'!$I$17*'Project Wide Estimates'!$E$31,(IF('Individual Parcel Estimate'!C17="C",'Project Wide Estimates'!$I$18*'Project Wide Estimates'!$E$31,(IF('Individual Parcel Estimate'!C17="CI",'Project Wide Estimates'!$I$19*'Project Wide Estimates'!$E$31))))))))))))))))))</f>
        <v>0</v>
      </c>
      <c r="J17" s="116"/>
      <c r="K17" s="203" t="b">
        <f>(IF(J17="Consultant","enter manually",(IF(C17="W","na",(IF(C17="N","na",(IF(C17="I","na",(IF(C17="II",'Project Wide Estimates'!$J$15*'Project Wide Estimates'!$E$31,(IF('Individual Parcel Estimate'!C17="M","na",(IF('Individual Parcel Estimate'!C17="MI",'Project Wide Estimates'!$J$17*'Project Wide Estimates'!$E$31,(IF('Individual Parcel Estimate'!C17="C","na",(IF('Individual Parcel Estimate'!C17="CI",'Project Wide Estimates'!$J$19*'Project Wide Estimates'!$E$31))))))))))))))))))</f>
        <v>0</v>
      </c>
      <c r="L17" s="116"/>
      <c r="M17" s="203" t="b">
        <f>(IF(L17="Consultant","enter manually",(IF(C17="W","na",(IF(C17="N","na",(IF(C17="I","na",(IF(C17="II",'Project Wide Estimates'!$K$15*'Project Wide Estimates'!$E$31,(IF('Individual Parcel Estimate'!C17="M","na",(IF('Individual Parcel Estimate'!C17="MI",'Project Wide Estimates'!$K$17*'Project Wide Estimates'!$E$31,(IF('Individual Parcel Estimate'!C17="C","na",(IF('Individual Parcel Estimate'!C17="CI",'Project Wide Estimates'!$K$19*'Project Wide Estimates'!$E$31))))))))))))))))))</f>
        <v>0</v>
      </c>
      <c r="N17" s="217"/>
      <c r="O17" s="217"/>
      <c r="P17" s="203" t="b">
        <f>(IF(C17="W",('Project Wide Estimates'!$D$12+'Project Wide Estimates'!$E$12)*'Project Wide Estimates'!$E$31,(IF(C17="N",('Project Wide Estimates'!$D$13+'Project Wide Estimates'!$E$13)*'Project Wide Estimates'!$E$31,(IF('Individual Parcel Estimate'!C17="I",('Project Wide Estimates'!$D$14+'Project Wide Estimates'!$E$14)*'Project Wide Estimates'!$E$31,(IF('Individual Parcel Estimate'!C17="II",('Project Wide Estimates'!$D$15+'Project Wide Estimates'!$E$15)*'Project Wide Estimates'!$E$31,(IF('Individual Parcel Estimate'!C17="M",('Project Wide Estimates'!$D$16+'Project Wide Estimates'!$E$16)*'Project Wide Estimates'!$E$31,(IF('Individual Parcel Estimate'!C17="MI",('Project Wide Estimates'!$D$17+'Project Wide Estimates'!$E$17)*'Project Wide Estimates'!$E$31,(IF('Individual Parcel Estimate'!C17="C",('Project Wide Estimates'!$D$18+'Project Wide Estimates'!$E$18)*'Project Wide Estimates'!$E$31,(IF('Individual Parcel Estimate'!C17="CI",('Project Wide Estimates'!$D$19+'Project Wide Estimates'!$E$19)*'Project Wide Estimates'!$E$31))))))))))))))))</f>
        <v>0</v>
      </c>
      <c r="Q17" s="318"/>
      <c r="R17" s="114"/>
      <c r="S17" s="203" t="b">
        <f>(IF(U17="Agricultural 1",R17*'Project Wide Estimates'!$Q$15,(IF('Individual Parcel Estimate'!U17="Agricultural 2",'Individual Parcel Estimate'!R17*'Project Wide Estimates'!$Q$16,(IF('Individual Parcel Estimate'!U17="Residential 1",'Individual Parcel Estimate'!R17*'Project Wide Estimates'!$Q$17,(IF('Individual Parcel Estimate'!U17="Residential 2",'Individual Parcel Estimate'!R17*'Project Wide Estimates'!$Q$18,(IF('Individual Parcel Estimate'!U17="Commercial 1",'Individual Parcel Estimate'!R17*'Project Wide Estimates'!$Q$19,(IF('Individual Parcel Estimate'!U17="Commercial 2",'Individual Parcel Estimate'!R17*'Project Wide Estimates'!$Q$20,(IF('Individual Parcel Estimate'!U17="Industrial 1",'Individual Parcel Estimate'!R17*'Project Wide Estimates'!$Q$21,(IF('Individual Parcel Estimate'!U17="Industrial 2",'Individual Parcel Estimate'!R17*'Project Wide Estimates'!$Q$22,(IF('Individual Parcel Estimate'!U17="Other 1",'Individual Parcel Estimate'!R17*'Project Wide Estimates'!$Q$23,(IF('Individual Parcel Estimate'!U17="Other 2",'Individual Parcel Estimate'!R17*'Project Wide Estimates'!$Q$24))))))))))))))))))))</f>
        <v>0</v>
      </c>
      <c r="T17" s="231"/>
      <c r="U17" s="116"/>
      <c r="V17" s="114"/>
      <c r="W17" s="224"/>
      <c r="X17" s="114"/>
      <c r="Y17" s="203" t="b">
        <f>(IF(U17="Agricultural 1",X17*('Project Wide Estimates'!$Q$15*0.1),(IF('Individual Parcel Estimate'!U17="Agricultural 2",'Individual Parcel Estimate'!X17*('Project Wide Estimates'!$Q$16*0.1),(IF('Individual Parcel Estimate'!U17="Residential 1",'Individual Parcel Estimate'!X17*('Project Wide Estimates'!$Q$17*0.1),(IF('Individual Parcel Estimate'!U17="Residential 2",'Individual Parcel Estimate'!X17*('Project Wide Estimates'!$Q$18*0.1),(IF('Individual Parcel Estimate'!U17="Commercial 1",'Individual Parcel Estimate'!X17*('Project Wide Estimates'!$Q$19*0.1),(IF('Individual Parcel Estimate'!U17="Commercial 2",'Individual Parcel Estimate'!X17*('Project Wide Estimates'!$Q$20*0.1),(IF('Individual Parcel Estimate'!U17="Industrial 1",'Individual Parcel Estimate'!X17*('Project Wide Estimates'!$Q$21*0.1),(IF('Individual Parcel Estimate'!U17="Industrial 2",'Individual Parcel Estimate'!X17*('Project Wide Estimates'!$Q$22*0.1),(IF('Individual Parcel Estimate'!U17="Other 1",'Individual Parcel Estimate'!X17*('Project Wide Estimates'!$Q$23*0.1),(IF('Individual Parcel Estimate'!U17="Other 2",'Individual Parcel Estimate'!X17*('Project Wide Estimates'!$Q$24*0.1)))))))))))))))))))))</f>
        <v>0</v>
      </c>
      <c r="Z17" s="203" t="b">
        <f>(IF(U17="Agricultural 1",'Project Wide Estimates'!$Q$15*'Individual Parcel Estimate'!R17, (IF('Individual Parcel Estimate'!U17="Agricultural 2", 'Project Wide Estimates'!$Q$16*'Individual Parcel Estimate'!R17, (IF('Individual Parcel Estimate'!U17="Residential 1", 'Project Wide Estimates'!$Q$17*'Individual Parcel Estimate'!R17, (IF('Individual Parcel Estimate'!U17="Residential 2",'Project Wide Estimates'!$Q$18*'Individual Parcel Estimate'!R17, (IF('Individual Parcel Estimate'!U17="Commercial 1",'Project Wide Estimates'!$Q$19*'Individual Parcel Estimate'!R17, (IF('Individual Parcel Estimate'!U17="Commercial 2", 'Project Wide Estimates'!$Q$20*'Individual Parcel Estimate'!R17, (IF('Individual Parcel Estimate'!U17="Industrial 1", 'Project Wide Estimates'!$Q$21*'Individual Parcel Estimate'!R17, (IF('Individual Parcel Estimate'!U17="Industrial 2", 'Project Wide Estimates'!$Q$22*'Individual Parcel Estimate'!R17, (IF('Individual Parcel Estimate'!U17="Other 1", 'Project Wide Estimates'!$Q$23*'Individual Parcel Estimate'!R17, (IF('Individual Parcel Estimate'!U17="Other 2", 'Project Wide Estimates'!$Q$24*'Individual Parcel Estimate'!R17))))))))))))))))))))</f>
        <v>0</v>
      </c>
      <c r="AA17" s="222">
        <f t="shared" si="4"/>
        <v>0</v>
      </c>
      <c r="AB17" s="203" t="b">
        <f t="shared" si="0"/>
        <v>0</v>
      </c>
      <c r="AC17" s="217"/>
      <c r="AD17" s="217"/>
      <c r="AE17" s="219"/>
      <c r="AF17" s="217"/>
      <c r="AG17" s="217"/>
      <c r="AH17" s="217"/>
      <c r="AI17" s="217"/>
      <c r="AJ17" s="217"/>
      <c r="AK17" s="203">
        <f t="shared" si="1"/>
        <v>0</v>
      </c>
      <c r="AL17" s="203">
        <f t="shared" si="2"/>
        <v>0</v>
      </c>
      <c r="AM17" s="114"/>
      <c r="AN17" s="114"/>
      <c r="AO17" s="114"/>
      <c r="AP17" s="259">
        <f t="shared" si="3"/>
        <v>0</v>
      </c>
      <c r="AQ17" s="114"/>
    </row>
    <row r="18" spans="1:43">
      <c r="A18" s="114"/>
      <c r="B18" s="115"/>
      <c r="C18" s="116"/>
      <c r="D18" s="116"/>
      <c r="E18" s="116"/>
      <c r="F18" s="116"/>
      <c r="G18" s="203" t="b">
        <f>(IF(F18="Consultant", "enter manually", (IF(C18="W", 'Project Wide Estimates'!$H$12*'Project Wide Estimates'!$E$31, (IF(C18="N", ('Project Wide Estimates'!$H$13+'Project Wide Estimates'!$F$13)*'Project Wide Estimates'!$E$31, (IF('Individual Parcel Estimate'!C18="I", ('Project Wide Estimates'!$H$14+'Project Wide Estimates'!$F$14)*'Project Wide Estimates'!$E$31, (IF('Individual Parcel Estimate'!C18="II", ('Project Wide Estimates'!$H$15+'Project Wide Estimates'!$F$15)*'Project Wide Estimates'!$E$31, (IF('Individual Parcel Estimate'!C18="M", ('Project Wide Estimates'!$H$16+'Project Wide Estimates'!$F$16)*'Project Wide Estimates'!$E$31, (IF('Individual Parcel Estimate'!C18="MI", ('Project Wide Estimates'!$H$17+'Project Wide Estimates'!$F$17)*'Project Wide Estimates'!$E$31, (IF('Individual Parcel Estimate'!C18="C", ('Project Wide Estimates'!$H$18+'Project Wide Estimates'!$F$18)*'Project Wide Estimates'!$E$31, (IF('Individual Parcel Estimate'!C18="CI", ('Project Wide Estimates'!$H$19+'Project Wide Estimates'!$F$19)*'Project Wide Estimates'!$E$31))))))))))))))))))</f>
        <v>0</v>
      </c>
      <c r="H18" s="116"/>
      <c r="I18" s="203" t="b">
        <f>(IF(H18="Consultant","enter manually",(IF(C18="W",('Project Wide Estimates'!$G$12+'Project Wide Estimates'!$I$12+'Project Wide Estimates'!$F$12)*'Project Wide Estimates'!$E$31,(IF(C18="N",('Project Wide Estimates'!$G$13+'Project Wide Estimates'!$I$13)*'Project Wide Estimates'!$E$31,(IF('Individual Parcel Estimate'!C18="I",'Project Wide Estimates'!$I$14*'Project Wide Estimates'!$E$31,(IF('Individual Parcel Estimate'!C18="II",'Project Wide Estimates'!$I$15*'Project Wide Estimates'!$E$31,(IF('Individual Parcel Estimate'!C18="M",'Project Wide Estimates'!$I$16*'Project Wide Estimates'!$E$31,(IF('Individual Parcel Estimate'!C18="MI",'Project Wide Estimates'!$I$17*'Project Wide Estimates'!$E$31,(IF('Individual Parcel Estimate'!C18="C",'Project Wide Estimates'!$I$18*'Project Wide Estimates'!$E$31,(IF('Individual Parcel Estimate'!C18="CI",'Project Wide Estimates'!$I$19*'Project Wide Estimates'!$E$31))))))))))))))))))</f>
        <v>0</v>
      </c>
      <c r="J18" s="116"/>
      <c r="K18" s="203" t="b">
        <f>(IF(J18="Consultant","enter manually",(IF(C18="W","na",(IF(C18="N","na",(IF(C18="I","na",(IF(C18="II",'Project Wide Estimates'!$J$15*'Project Wide Estimates'!$E$31,(IF('Individual Parcel Estimate'!C18="M","na",(IF('Individual Parcel Estimate'!C18="MI",'Project Wide Estimates'!$J$17*'Project Wide Estimates'!$E$31,(IF('Individual Parcel Estimate'!C18="C","na",(IF('Individual Parcel Estimate'!C18="CI",'Project Wide Estimates'!$J$19*'Project Wide Estimates'!$E$31))))))))))))))))))</f>
        <v>0</v>
      </c>
      <c r="L18" s="116"/>
      <c r="M18" s="203" t="b">
        <f>(IF(L18="Consultant","enter manually",(IF(C18="W","na",(IF(C18="N","na",(IF(C18="I","na",(IF(C18="II",'Project Wide Estimates'!$K$15*'Project Wide Estimates'!$E$31,(IF('Individual Parcel Estimate'!C18="M","na",(IF('Individual Parcel Estimate'!C18="MI",'Project Wide Estimates'!$K$17*'Project Wide Estimates'!$E$31,(IF('Individual Parcel Estimate'!C18="C","na",(IF('Individual Parcel Estimate'!C18="CI",'Project Wide Estimates'!$K$19*'Project Wide Estimates'!$E$31))))))))))))))))))</f>
        <v>0</v>
      </c>
      <c r="N18" s="217"/>
      <c r="O18" s="217"/>
      <c r="P18" s="203" t="b">
        <f>(IF(C18="W",('Project Wide Estimates'!$D$12+'Project Wide Estimates'!$E$12)*'Project Wide Estimates'!$E$31,(IF(C18="N",('Project Wide Estimates'!$D$13+'Project Wide Estimates'!$E$13)*'Project Wide Estimates'!$E$31,(IF('Individual Parcel Estimate'!C18="I",('Project Wide Estimates'!$D$14+'Project Wide Estimates'!$E$14)*'Project Wide Estimates'!$E$31,(IF('Individual Parcel Estimate'!C18="II",('Project Wide Estimates'!$D$15+'Project Wide Estimates'!$E$15)*'Project Wide Estimates'!$E$31,(IF('Individual Parcel Estimate'!C18="M",('Project Wide Estimates'!$D$16+'Project Wide Estimates'!$E$16)*'Project Wide Estimates'!$E$31,(IF('Individual Parcel Estimate'!C18="MI",('Project Wide Estimates'!$D$17+'Project Wide Estimates'!$E$17)*'Project Wide Estimates'!$E$31,(IF('Individual Parcel Estimate'!C18="C",('Project Wide Estimates'!$D$18+'Project Wide Estimates'!$E$18)*'Project Wide Estimates'!$E$31,(IF('Individual Parcel Estimate'!C18="CI",('Project Wide Estimates'!$D$19+'Project Wide Estimates'!$E$19)*'Project Wide Estimates'!$E$31))))))))))))))))</f>
        <v>0</v>
      </c>
      <c r="Q18" s="318"/>
      <c r="R18" s="114"/>
      <c r="S18" s="203" t="b">
        <f>(IF(U18="Agricultural 1",R18*'Project Wide Estimates'!$Q$15,(IF('Individual Parcel Estimate'!U18="Agricultural 2",'Individual Parcel Estimate'!R18*'Project Wide Estimates'!$Q$16,(IF('Individual Parcel Estimate'!U18="Residential 1",'Individual Parcel Estimate'!R18*'Project Wide Estimates'!$Q$17,(IF('Individual Parcel Estimate'!U18="Residential 2",'Individual Parcel Estimate'!R18*'Project Wide Estimates'!$Q$18,(IF('Individual Parcel Estimate'!U18="Commercial 1",'Individual Parcel Estimate'!R18*'Project Wide Estimates'!$Q$19,(IF('Individual Parcel Estimate'!U18="Commercial 2",'Individual Parcel Estimate'!R18*'Project Wide Estimates'!$Q$20,(IF('Individual Parcel Estimate'!U18="Industrial 1",'Individual Parcel Estimate'!R18*'Project Wide Estimates'!$Q$21,(IF('Individual Parcel Estimate'!U18="Industrial 2",'Individual Parcel Estimate'!R18*'Project Wide Estimates'!$Q$22,(IF('Individual Parcel Estimate'!U18="Other 1",'Individual Parcel Estimate'!R18*'Project Wide Estimates'!$Q$23,(IF('Individual Parcel Estimate'!U18="Other 2",'Individual Parcel Estimate'!R18*'Project Wide Estimates'!$Q$24))))))))))))))))))))</f>
        <v>0</v>
      </c>
      <c r="T18" s="231"/>
      <c r="U18" s="116"/>
      <c r="V18" s="114"/>
      <c r="W18" s="224"/>
      <c r="X18" s="114"/>
      <c r="Y18" s="203" t="b">
        <f>(IF(U18="Agricultural 1",X18*('Project Wide Estimates'!$Q$15*0.1),(IF('Individual Parcel Estimate'!U18="Agricultural 2",'Individual Parcel Estimate'!X18*('Project Wide Estimates'!$Q$16*0.1),(IF('Individual Parcel Estimate'!U18="Residential 1",'Individual Parcel Estimate'!X18*('Project Wide Estimates'!$Q$17*0.1),(IF('Individual Parcel Estimate'!U18="Residential 2",'Individual Parcel Estimate'!X18*('Project Wide Estimates'!$Q$18*0.1),(IF('Individual Parcel Estimate'!U18="Commercial 1",'Individual Parcel Estimate'!X18*('Project Wide Estimates'!$Q$19*0.1),(IF('Individual Parcel Estimate'!U18="Commercial 2",'Individual Parcel Estimate'!X18*('Project Wide Estimates'!$Q$20*0.1),(IF('Individual Parcel Estimate'!U18="Industrial 1",'Individual Parcel Estimate'!X18*('Project Wide Estimates'!$Q$21*0.1),(IF('Individual Parcel Estimate'!U18="Industrial 2",'Individual Parcel Estimate'!X18*('Project Wide Estimates'!$Q$22*0.1),(IF('Individual Parcel Estimate'!U18="Other 1",'Individual Parcel Estimate'!X18*('Project Wide Estimates'!$Q$23*0.1),(IF('Individual Parcel Estimate'!U18="Other 2",'Individual Parcel Estimate'!X18*('Project Wide Estimates'!$Q$24*0.1)))))))))))))))))))))</f>
        <v>0</v>
      </c>
      <c r="Z18" s="203" t="b">
        <f>(IF(U18="Agricultural 1",'Project Wide Estimates'!$Q$15*'Individual Parcel Estimate'!R18, (IF('Individual Parcel Estimate'!U18="Agricultural 2", 'Project Wide Estimates'!$Q$16*'Individual Parcel Estimate'!R18, (IF('Individual Parcel Estimate'!U18="Residential 1", 'Project Wide Estimates'!$Q$17*'Individual Parcel Estimate'!R18, (IF('Individual Parcel Estimate'!U18="Residential 2",'Project Wide Estimates'!$Q$18*'Individual Parcel Estimate'!R18, (IF('Individual Parcel Estimate'!U18="Commercial 1",'Project Wide Estimates'!$Q$19*'Individual Parcel Estimate'!R18, (IF('Individual Parcel Estimate'!U18="Commercial 2", 'Project Wide Estimates'!$Q$20*'Individual Parcel Estimate'!R18, (IF('Individual Parcel Estimate'!U18="Industrial 1", 'Project Wide Estimates'!$Q$21*'Individual Parcel Estimate'!R18, (IF('Individual Parcel Estimate'!U18="Industrial 2", 'Project Wide Estimates'!$Q$22*'Individual Parcel Estimate'!R18, (IF('Individual Parcel Estimate'!U18="Other 1", 'Project Wide Estimates'!$Q$23*'Individual Parcel Estimate'!R18, (IF('Individual Parcel Estimate'!U18="Other 2", 'Project Wide Estimates'!$Q$24*'Individual Parcel Estimate'!R18))))))))))))))))))))</f>
        <v>0</v>
      </c>
      <c r="AA18" s="222">
        <f t="shared" si="4"/>
        <v>0</v>
      </c>
      <c r="AB18" s="203" t="b">
        <f t="shared" si="0"/>
        <v>0</v>
      </c>
      <c r="AC18" s="217"/>
      <c r="AD18" s="217"/>
      <c r="AE18" s="219"/>
      <c r="AF18" s="217"/>
      <c r="AG18" s="217"/>
      <c r="AH18" s="217"/>
      <c r="AI18" s="217"/>
      <c r="AJ18" s="217"/>
      <c r="AK18" s="203">
        <f t="shared" si="1"/>
        <v>0</v>
      </c>
      <c r="AL18" s="203">
        <f t="shared" si="2"/>
        <v>0</v>
      </c>
      <c r="AM18" s="114"/>
      <c r="AN18" s="114"/>
      <c r="AO18" s="114"/>
      <c r="AP18" s="259">
        <f t="shared" si="3"/>
        <v>0</v>
      </c>
      <c r="AQ18" s="114"/>
    </row>
    <row r="19" spans="1:43">
      <c r="A19" s="114"/>
      <c r="B19" s="115"/>
      <c r="C19" s="116"/>
      <c r="D19" s="116"/>
      <c r="E19" s="116"/>
      <c r="F19" s="116"/>
      <c r="G19" s="203" t="b">
        <f>(IF(F19="Consultant", "enter manually", (IF(C19="W", 'Project Wide Estimates'!$H$12*'Project Wide Estimates'!$E$31, (IF(C19="N", ('Project Wide Estimates'!$H$13+'Project Wide Estimates'!$F$13)*'Project Wide Estimates'!$E$31, (IF('Individual Parcel Estimate'!C19="I", ('Project Wide Estimates'!$H$14+'Project Wide Estimates'!$F$14)*'Project Wide Estimates'!$E$31, (IF('Individual Parcel Estimate'!C19="II", ('Project Wide Estimates'!$H$15+'Project Wide Estimates'!$F$15)*'Project Wide Estimates'!$E$31, (IF('Individual Parcel Estimate'!C19="M", ('Project Wide Estimates'!$H$16+'Project Wide Estimates'!$F$16)*'Project Wide Estimates'!$E$31, (IF('Individual Parcel Estimate'!C19="MI", ('Project Wide Estimates'!$H$17+'Project Wide Estimates'!$F$17)*'Project Wide Estimates'!$E$31, (IF('Individual Parcel Estimate'!C19="C", ('Project Wide Estimates'!$H$18+'Project Wide Estimates'!$F$18)*'Project Wide Estimates'!$E$31, (IF('Individual Parcel Estimate'!C19="CI", ('Project Wide Estimates'!$H$19+'Project Wide Estimates'!$F$19)*'Project Wide Estimates'!$E$31))))))))))))))))))</f>
        <v>0</v>
      </c>
      <c r="H19" s="116"/>
      <c r="I19" s="203" t="b">
        <f>(IF(H19="Consultant","enter manually",(IF(C19="W",('Project Wide Estimates'!$G$12+'Project Wide Estimates'!$I$12+'Project Wide Estimates'!$F$12)*'Project Wide Estimates'!$E$31,(IF(C19="N",('Project Wide Estimates'!$G$13+'Project Wide Estimates'!$I$13)*'Project Wide Estimates'!$E$31,(IF('Individual Parcel Estimate'!C19="I",'Project Wide Estimates'!$I$14*'Project Wide Estimates'!$E$31,(IF('Individual Parcel Estimate'!C19="II",'Project Wide Estimates'!$I$15*'Project Wide Estimates'!$E$31,(IF('Individual Parcel Estimate'!C19="M",'Project Wide Estimates'!$I$16*'Project Wide Estimates'!$E$31,(IF('Individual Parcel Estimate'!C19="MI",'Project Wide Estimates'!$I$17*'Project Wide Estimates'!$E$31,(IF('Individual Parcel Estimate'!C19="C",'Project Wide Estimates'!$I$18*'Project Wide Estimates'!$E$31,(IF('Individual Parcel Estimate'!C19="CI",'Project Wide Estimates'!$I$19*'Project Wide Estimates'!$E$31))))))))))))))))))</f>
        <v>0</v>
      </c>
      <c r="J19" s="116"/>
      <c r="K19" s="203" t="b">
        <f>(IF(J19="Consultant","enter manually",(IF(C19="W","na",(IF(C19="N","na",(IF(C19="I","na",(IF(C19="II",'Project Wide Estimates'!$J$15*'Project Wide Estimates'!$E$31,(IF('Individual Parcel Estimate'!C19="M","na",(IF('Individual Parcel Estimate'!C19="MI",'Project Wide Estimates'!$J$17*'Project Wide Estimates'!$E$31,(IF('Individual Parcel Estimate'!C19="C","na",(IF('Individual Parcel Estimate'!C19="CI",'Project Wide Estimates'!$J$19*'Project Wide Estimates'!$E$31))))))))))))))))))</f>
        <v>0</v>
      </c>
      <c r="L19" s="116"/>
      <c r="M19" s="203" t="b">
        <f>(IF(L19="Consultant","enter manually",(IF(C19="W","na",(IF(C19="N","na",(IF(C19="I","na",(IF(C19="II",'Project Wide Estimates'!$K$15*'Project Wide Estimates'!$E$31,(IF('Individual Parcel Estimate'!C19="M","na",(IF('Individual Parcel Estimate'!C19="MI",'Project Wide Estimates'!$K$17*'Project Wide Estimates'!$E$31,(IF('Individual Parcel Estimate'!C19="C","na",(IF('Individual Parcel Estimate'!C19="CI",'Project Wide Estimates'!$K$19*'Project Wide Estimates'!$E$31))))))))))))))))))</f>
        <v>0</v>
      </c>
      <c r="N19" s="217"/>
      <c r="O19" s="217"/>
      <c r="P19" s="203" t="b">
        <f>(IF(C19="W",('Project Wide Estimates'!$D$12+'Project Wide Estimates'!$E$12)*'Project Wide Estimates'!$E$31,(IF(C19="N",('Project Wide Estimates'!$D$13+'Project Wide Estimates'!$E$13)*'Project Wide Estimates'!$E$31,(IF('Individual Parcel Estimate'!C19="I",('Project Wide Estimates'!$D$14+'Project Wide Estimates'!$E$14)*'Project Wide Estimates'!$E$31,(IF('Individual Parcel Estimate'!C19="II",('Project Wide Estimates'!$D$15+'Project Wide Estimates'!$E$15)*'Project Wide Estimates'!$E$31,(IF('Individual Parcel Estimate'!C19="M",('Project Wide Estimates'!$D$16+'Project Wide Estimates'!$E$16)*'Project Wide Estimates'!$E$31,(IF('Individual Parcel Estimate'!C19="MI",('Project Wide Estimates'!$D$17+'Project Wide Estimates'!$E$17)*'Project Wide Estimates'!$E$31,(IF('Individual Parcel Estimate'!C19="C",('Project Wide Estimates'!$D$18+'Project Wide Estimates'!$E$18)*'Project Wide Estimates'!$E$31,(IF('Individual Parcel Estimate'!C19="CI",('Project Wide Estimates'!$D$19+'Project Wide Estimates'!$E$19)*'Project Wide Estimates'!$E$31))))))))))))))))</f>
        <v>0</v>
      </c>
      <c r="Q19" s="318"/>
      <c r="R19" s="114"/>
      <c r="S19" s="203" t="b">
        <f>(IF(U19="Agricultural 1",R19*'Project Wide Estimates'!$Q$15,(IF('Individual Parcel Estimate'!U19="Agricultural 2",'Individual Parcel Estimate'!R19*'Project Wide Estimates'!$Q$16,(IF('Individual Parcel Estimate'!U19="Residential 1",'Individual Parcel Estimate'!R19*'Project Wide Estimates'!$Q$17,(IF('Individual Parcel Estimate'!U19="Residential 2",'Individual Parcel Estimate'!R19*'Project Wide Estimates'!$Q$18,(IF('Individual Parcel Estimate'!U19="Commercial 1",'Individual Parcel Estimate'!R19*'Project Wide Estimates'!$Q$19,(IF('Individual Parcel Estimate'!U19="Commercial 2",'Individual Parcel Estimate'!R19*'Project Wide Estimates'!$Q$20,(IF('Individual Parcel Estimate'!U19="Industrial 1",'Individual Parcel Estimate'!R19*'Project Wide Estimates'!$Q$21,(IF('Individual Parcel Estimate'!U19="Industrial 2",'Individual Parcel Estimate'!R19*'Project Wide Estimates'!$Q$22,(IF('Individual Parcel Estimate'!U19="Other 1",'Individual Parcel Estimate'!R19*'Project Wide Estimates'!$Q$23,(IF('Individual Parcel Estimate'!U19="Other 2",'Individual Parcel Estimate'!R19*'Project Wide Estimates'!$Q$24))))))))))))))))))))</f>
        <v>0</v>
      </c>
      <c r="T19" s="231"/>
      <c r="U19" s="116"/>
      <c r="V19" s="114"/>
      <c r="W19" s="224"/>
      <c r="X19" s="114"/>
      <c r="Y19" s="203" t="b">
        <f>(IF(U19="Agricultural 1",X19*('Project Wide Estimates'!$Q$15*0.1),(IF('Individual Parcel Estimate'!U19="Agricultural 2",'Individual Parcel Estimate'!X19*('Project Wide Estimates'!$Q$16*0.1),(IF('Individual Parcel Estimate'!U19="Residential 1",'Individual Parcel Estimate'!X19*('Project Wide Estimates'!$Q$17*0.1),(IF('Individual Parcel Estimate'!U19="Residential 2",'Individual Parcel Estimate'!X19*('Project Wide Estimates'!$Q$18*0.1),(IF('Individual Parcel Estimate'!U19="Commercial 1",'Individual Parcel Estimate'!X19*('Project Wide Estimates'!$Q$19*0.1),(IF('Individual Parcel Estimate'!U19="Commercial 2",'Individual Parcel Estimate'!X19*('Project Wide Estimates'!$Q$20*0.1),(IF('Individual Parcel Estimate'!U19="Industrial 1",'Individual Parcel Estimate'!X19*('Project Wide Estimates'!$Q$21*0.1),(IF('Individual Parcel Estimate'!U19="Industrial 2",'Individual Parcel Estimate'!X19*('Project Wide Estimates'!$Q$22*0.1),(IF('Individual Parcel Estimate'!U19="Other 1",'Individual Parcel Estimate'!X19*('Project Wide Estimates'!$Q$23*0.1),(IF('Individual Parcel Estimate'!U19="Other 2",'Individual Parcel Estimate'!X19*('Project Wide Estimates'!$Q$24*0.1)))))))))))))))))))))</f>
        <v>0</v>
      </c>
      <c r="Z19" s="203" t="b">
        <f>(IF(U19="Agricultural 1",'Project Wide Estimates'!$Q$15*'Individual Parcel Estimate'!R19, (IF('Individual Parcel Estimate'!U19="Agricultural 2", 'Project Wide Estimates'!$Q$16*'Individual Parcel Estimate'!R19, (IF('Individual Parcel Estimate'!U19="Residential 1", 'Project Wide Estimates'!$Q$17*'Individual Parcel Estimate'!R19, (IF('Individual Parcel Estimate'!U19="Residential 2",'Project Wide Estimates'!$Q$18*'Individual Parcel Estimate'!R19, (IF('Individual Parcel Estimate'!U19="Commercial 1",'Project Wide Estimates'!$Q$19*'Individual Parcel Estimate'!R19, (IF('Individual Parcel Estimate'!U19="Commercial 2", 'Project Wide Estimates'!$Q$20*'Individual Parcel Estimate'!R19, (IF('Individual Parcel Estimate'!U19="Industrial 1", 'Project Wide Estimates'!$Q$21*'Individual Parcel Estimate'!R19, (IF('Individual Parcel Estimate'!U19="Industrial 2", 'Project Wide Estimates'!$Q$22*'Individual Parcel Estimate'!R19, (IF('Individual Parcel Estimate'!U19="Other 1", 'Project Wide Estimates'!$Q$23*'Individual Parcel Estimate'!R19, (IF('Individual Parcel Estimate'!U19="Other 2", 'Project Wide Estimates'!$Q$24*'Individual Parcel Estimate'!R19))))))))))))))))))))</f>
        <v>0</v>
      </c>
      <c r="AA19" s="222">
        <f t="shared" si="4"/>
        <v>0</v>
      </c>
      <c r="AB19" s="203" t="b">
        <f t="shared" si="0"/>
        <v>0</v>
      </c>
      <c r="AC19" s="217"/>
      <c r="AD19" s="217"/>
      <c r="AE19" s="219"/>
      <c r="AF19" s="217"/>
      <c r="AG19" s="217"/>
      <c r="AH19" s="217"/>
      <c r="AI19" s="217"/>
      <c r="AJ19" s="217"/>
      <c r="AK19" s="203">
        <f t="shared" si="1"/>
        <v>0</v>
      </c>
      <c r="AL19" s="203">
        <f t="shared" si="2"/>
        <v>0</v>
      </c>
      <c r="AM19" s="114"/>
      <c r="AN19" s="114"/>
      <c r="AO19" s="114"/>
      <c r="AP19" s="259">
        <f t="shared" si="3"/>
        <v>0</v>
      </c>
      <c r="AQ19" s="114"/>
    </row>
    <row r="20" spans="1:43">
      <c r="A20" s="114"/>
      <c r="B20" s="115"/>
      <c r="C20" s="116"/>
      <c r="D20" s="116"/>
      <c r="E20" s="116"/>
      <c r="F20" s="116"/>
      <c r="G20" s="203" t="b">
        <f>(IF(F20="Consultant", "enter manually", (IF(C20="W", 'Project Wide Estimates'!$H$12*'Project Wide Estimates'!$E$31, (IF(C20="N", ('Project Wide Estimates'!$H$13+'Project Wide Estimates'!$F$13)*'Project Wide Estimates'!$E$31, (IF('Individual Parcel Estimate'!C20="I", ('Project Wide Estimates'!$H$14+'Project Wide Estimates'!$F$14)*'Project Wide Estimates'!$E$31, (IF('Individual Parcel Estimate'!C20="II", ('Project Wide Estimates'!$H$15+'Project Wide Estimates'!$F$15)*'Project Wide Estimates'!$E$31, (IF('Individual Parcel Estimate'!C20="M", ('Project Wide Estimates'!$H$16+'Project Wide Estimates'!$F$16)*'Project Wide Estimates'!$E$31, (IF('Individual Parcel Estimate'!C20="MI", ('Project Wide Estimates'!$H$17+'Project Wide Estimates'!$F$17)*'Project Wide Estimates'!$E$31, (IF('Individual Parcel Estimate'!C20="C", ('Project Wide Estimates'!$H$18+'Project Wide Estimates'!$F$18)*'Project Wide Estimates'!$E$31, (IF('Individual Parcel Estimate'!C20="CI", ('Project Wide Estimates'!$H$19+'Project Wide Estimates'!$F$19)*'Project Wide Estimates'!$E$31))))))))))))))))))</f>
        <v>0</v>
      </c>
      <c r="H20" s="116"/>
      <c r="I20" s="203" t="b">
        <f>(IF(H20="Consultant","enter manually",(IF(C20="W",('Project Wide Estimates'!$G$12+'Project Wide Estimates'!$I$12+'Project Wide Estimates'!$F$12)*'Project Wide Estimates'!$E$31,(IF(C20="N",('Project Wide Estimates'!$G$13+'Project Wide Estimates'!$I$13)*'Project Wide Estimates'!$E$31,(IF('Individual Parcel Estimate'!C20="I",'Project Wide Estimates'!$I$14*'Project Wide Estimates'!$E$31,(IF('Individual Parcel Estimate'!C20="II",'Project Wide Estimates'!$I$15*'Project Wide Estimates'!$E$31,(IF('Individual Parcel Estimate'!C20="M",'Project Wide Estimates'!$I$16*'Project Wide Estimates'!$E$31,(IF('Individual Parcel Estimate'!C20="MI",'Project Wide Estimates'!$I$17*'Project Wide Estimates'!$E$31,(IF('Individual Parcel Estimate'!C20="C",'Project Wide Estimates'!$I$18*'Project Wide Estimates'!$E$31,(IF('Individual Parcel Estimate'!C20="CI",'Project Wide Estimates'!$I$19*'Project Wide Estimates'!$E$31))))))))))))))))))</f>
        <v>0</v>
      </c>
      <c r="J20" s="116"/>
      <c r="K20" s="203" t="b">
        <f>(IF(J20="Consultant","enter manually",(IF(C20="W","na",(IF(C20="N","na",(IF(C20="I","na",(IF(C20="II",'Project Wide Estimates'!$J$15*'Project Wide Estimates'!$E$31,(IF('Individual Parcel Estimate'!C20="M","na",(IF('Individual Parcel Estimate'!C20="MI",'Project Wide Estimates'!$J$17*'Project Wide Estimates'!$E$31,(IF('Individual Parcel Estimate'!C20="C","na",(IF('Individual Parcel Estimate'!C20="CI",'Project Wide Estimates'!$J$19*'Project Wide Estimates'!$E$31))))))))))))))))))</f>
        <v>0</v>
      </c>
      <c r="L20" s="116"/>
      <c r="M20" s="203" t="b">
        <f>(IF(L20="Consultant","enter manually",(IF(C20="W","na",(IF(C20="N","na",(IF(C20="I","na",(IF(C20="II",'Project Wide Estimates'!$K$15*'Project Wide Estimates'!$E$31,(IF('Individual Parcel Estimate'!C20="M","na",(IF('Individual Parcel Estimate'!C20="MI",'Project Wide Estimates'!$K$17*'Project Wide Estimates'!$E$31,(IF('Individual Parcel Estimate'!C20="C","na",(IF('Individual Parcel Estimate'!C20="CI",'Project Wide Estimates'!$K$19*'Project Wide Estimates'!$E$31))))))))))))))))))</f>
        <v>0</v>
      </c>
      <c r="N20" s="217"/>
      <c r="O20" s="217"/>
      <c r="P20" s="203" t="b">
        <f>(IF(C20="W",('Project Wide Estimates'!$D$12+'Project Wide Estimates'!$E$12)*'Project Wide Estimates'!$E$31,(IF(C20="N",('Project Wide Estimates'!$D$13+'Project Wide Estimates'!$E$13)*'Project Wide Estimates'!$E$31,(IF('Individual Parcel Estimate'!C20="I",('Project Wide Estimates'!$D$14+'Project Wide Estimates'!$E$14)*'Project Wide Estimates'!$E$31,(IF('Individual Parcel Estimate'!C20="II",('Project Wide Estimates'!$D$15+'Project Wide Estimates'!$E$15)*'Project Wide Estimates'!$E$31,(IF('Individual Parcel Estimate'!C20="M",('Project Wide Estimates'!$D$16+'Project Wide Estimates'!$E$16)*'Project Wide Estimates'!$E$31,(IF('Individual Parcel Estimate'!C20="MI",('Project Wide Estimates'!$D$17+'Project Wide Estimates'!$E$17)*'Project Wide Estimates'!$E$31,(IF('Individual Parcel Estimate'!C20="C",('Project Wide Estimates'!$D$18+'Project Wide Estimates'!$E$18)*'Project Wide Estimates'!$E$31,(IF('Individual Parcel Estimate'!C20="CI",('Project Wide Estimates'!$D$19+'Project Wide Estimates'!$E$19)*'Project Wide Estimates'!$E$31))))))))))))))))</f>
        <v>0</v>
      </c>
      <c r="Q20" s="318"/>
      <c r="R20" s="114"/>
      <c r="S20" s="203" t="b">
        <f>(IF(U20="Agricultural 1",R20*'Project Wide Estimates'!$Q$15,(IF('Individual Parcel Estimate'!U20="Agricultural 2",'Individual Parcel Estimate'!R20*'Project Wide Estimates'!$Q$16,(IF('Individual Parcel Estimate'!U20="Residential 1",'Individual Parcel Estimate'!R20*'Project Wide Estimates'!$Q$17,(IF('Individual Parcel Estimate'!U20="Residential 2",'Individual Parcel Estimate'!R20*'Project Wide Estimates'!$Q$18,(IF('Individual Parcel Estimate'!U20="Commercial 1",'Individual Parcel Estimate'!R20*'Project Wide Estimates'!$Q$19,(IF('Individual Parcel Estimate'!U20="Commercial 2",'Individual Parcel Estimate'!R20*'Project Wide Estimates'!$Q$20,(IF('Individual Parcel Estimate'!U20="Industrial 1",'Individual Parcel Estimate'!R20*'Project Wide Estimates'!$Q$21,(IF('Individual Parcel Estimate'!U20="Industrial 2",'Individual Parcel Estimate'!R20*'Project Wide Estimates'!$Q$22,(IF('Individual Parcel Estimate'!U20="Other 1",'Individual Parcel Estimate'!R20*'Project Wide Estimates'!$Q$23,(IF('Individual Parcel Estimate'!U20="Other 2",'Individual Parcel Estimate'!R20*'Project Wide Estimates'!$Q$24))))))))))))))))))))</f>
        <v>0</v>
      </c>
      <c r="T20" s="231"/>
      <c r="U20" s="116"/>
      <c r="V20" s="114"/>
      <c r="W20" s="224"/>
      <c r="X20" s="114"/>
      <c r="Y20" s="203" t="b">
        <f>(IF(U20="Agricultural 1",X20*('Project Wide Estimates'!$Q$15*0.1),(IF('Individual Parcel Estimate'!U20="Agricultural 2",'Individual Parcel Estimate'!X20*('Project Wide Estimates'!$Q$16*0.1),(IF('Individual Parcel Estimate'!U20="Residential 1",'Individual Parcel Estimate'!X20*('Project Wide Estimates'!$Q$17*0.1),(IF('Individual Parcel Estimate'!U20="Residential 2",'Individual Parcel Estimate'!X20*('Project Wide Estimates'!$Q$18*0.1),(IF('Individual Parcel Estimate'!U20="Commercial 1",'Individual Parcel Estimate'!X20*('Project Wide Estimates'!$Q$19*0.1),(IF('Individual Parcel Estimate'!U20="Commercial 2",'Individual Parcel Estimate'!X20*('Project Wide Estimates'!$Q$20*0.1),(IF('Individual Parcel Estimate'!U20="Industrial 1",'Individual Parcel Estimate'!X20*('Project Wide Estimates'!$Q$21*0.1),(IF('Individual Parcel Estimate'!U20="Industrial 2",'Individual Parcel Estimate'!X20*('Project Wide Estimates'!$Q$22*0.1),(IF('Individual Parcel Estimate'!U20="Other 1",'Individual Parcel Estimate'!X20*('Project Wide Estimates'!$Q$23*0.1),(IF('Individual Parcel Estimate'!U20="Other 2",'Individual Parcel Estimate'!X20*('Project Wide Estimates'!$Q$24*0.1)))))))))))))))))))))</f>
        <v>0</v>
      </c>
      <c r="Z20" s="203" t="b">
        <f>(IF(U20="Agricultural 1",'Project Wide Estimates'!$Q$15*'Individual Parcel Estimate'!R20, (IF('Individual Parcel Estimate'!U20="Agricultural 2", 'Project Wide Estimates'!$Q$16*'Individual Parcel Estimate'!R20, (IF('Individual Parcel Estimate'!U20="Residential 1", 'Project Wide Estimates'!$Q$17*'Individual Parcel Estimate'!R20, (IF('Individual Parcel Estimate'!U20="Residential 2",'Project Wide Estimates'!$Q$18*'Individual Parcel Estimate'!R20, (IF('Individual Parcel Estimate'!U20="Commercial 1",'Project Wide Estimates'!$Q$19*'Individual Parcel Estimate'!R20, (IF('Individual Parcel Estimate'!U20="Commercial 2", 'Project Wide Estimates'!$Q$20*'Individual Parcel Estimate'!R20, (IF('Individual Parcel Estimate'!U20="Industrial 1", 'Project Wide Estimates'!$Q$21*'Individual Parcel Estimate'!R20, (IF('Individual Parcel Estimate'!U20="Industrial 2", 'Project Wide Estimates'!$Q$22*'Individual Parcel Estimate'!R20, (IF('Individual Parcel Estimate'!U20="Other 1", 'Project Wide Estimates'!$Q$23*'Individual Parcel Estimate'!R20, (IF('Individual Parcel Estimate'!U20="Other 2", 'Project Wide Estimates'!$Q$24*'Individual Parcel Estimate'!R20))))))))))))))))))))</f>
        <v>0</v>
      </c>
      <c r="AA20" s="222">
        <f t="shared" si="4"/>
        <v>0</v>
      </c>
      <c r="AB20" s="203" t="b">
        <f t="shared" si="0"/>
        <v>0</v>
      </c>
      <c r="AC20" s="217"/>
      <c r="AD20" s="217"/>
      <c r="AE20" s="219"/>
      <c r="AF20" s="217"/>
      <c r="AG20" s="217"/>
      <c r="AH20" s="217"/>
      <c r="AI20" s="217"/>
      <c r="AJ20" s="217"/>
      <c r="AK20" s="203">
        <f t="shared" si="1"/>
        <v>0</v>
      </c>
      <c r="AL20" s="203">
        <f t="shared" si="2"/>
        <v>0</v>
      </c>
      <c r="AM20" s="114"/>
      <c r="AN20" s="114"/>
      <c r="AO20" s="114"/>
      <c r="AP20" s="259">
        <f t="shared" si="3"/>
        <v>0</v>
      </c>
      <c r="AQ20" s="114"/>
    </row>
    <row r="21" spans="1:43">
      <c r="A21" s="114"/>
      <c r="B21" s="115"/>
      <c r="C21" s="116"/>
      <c r="D21" s="116"/>
      <c r="E21" s="116"/>
      <c r="F21" s="116"/>
      <c r="G21" s="203" t="b">
        <f>(IF(F21="Consultant", "enter manually", (IF(C21="W", 'Project Wide Estimates'!$H$12*'Project Wide Estimates'!$E$31, (IF(C21="N", ('Project Wide Estimates'!$H$13+'Project Wide Estimates'!$F$13)*'Project Wide Estimates'!$E$31, (IF('Individual Parcel Estimate'!C21="I", ('Project Wide Estimates'!$H$14+'Project Wide Estimates'!$F$14)*'Project Wide Estimates'!$E$31, (IF('Individual Parcel Estimate'!C21="II", ('Project Wide Estimates'!$H$15+'Project Wide Estimates'!$F$15)*'Project Wide Estimates'!$E$31, (IF('Individual Parcel Estimate'!C21="M", ('Project Wide Estimates'!$H$16+'Project Wide Estimates'!$F$16)*'Project Wide Estimates'!$E$31, (IF('Individual Parcel Estimate'!C21="MI", ('Project Wide Estimates'!$H$17+'Project Wide Estimates'!$F$17)*'Project Wide Estimates'!$E$31, (IF('Individual Parcel Estimate'!C21="C", ('Project Wide Estimates'!$H$18+'Project Wide Estimates'!$F$18)*'Project Wide Estimates'!$E$31, (IF('Individual Parcel Estimate'!C21="CI", ('Project Wide Estimates'!$H$19+'Project Wide Estimates'!$F$19)*'Project Wide Estimates'!$E$31))))))))))))))))))</f>
        <v>0</v>
      </c>
      <c r="H21" s="116"/>
      <c r="I21" s="203" t="b">
        <f>(IF(H21="Consultant","enter manually",(IF(C21="W",('Project Wide Estimates'!$G$12+'Project Wide Estimates'!$I$12+'Project Wide Estimates'!$F$12)*'Project Wide Estimates'!$E$31,(IF(C21="N",('Project Wide Estimates'!$G$13+'Project Wide Estimates'!$I$13)*'Project Wide Estimates'!$E$31,(IF('Individual Parcel Estimate'!C21="I",'Project Wide Estimates'!$I$14*'Project Wide Estimates'!$E$31,(IF('Individual Parcel Estimate'!C21="II",'Project Wide Estimates'!$I$15*'Project Wide Estimates'!$E$31,(IF('Individual Parcel Estimate'!C21="M",'Project Wide Estimates'!$I$16*'Project Wide Estimates'!$E$31,(IF('Individual Parcel Estimate'!C21="MI",'Project Wide Estimates'!$I$17*'Project Wide Estimates'!$E$31,(IF('Individual Parcel Estimate'!C21="C",'Project Wide Estimates'!$I$18*'Project Wide Estimates'!$E$31,(IF('Individual Parcel Estimate'!C21="CI",'Project Wide Estimates'!$I$19*'Project Wide Estimates'!$E$31))))))))))))))))))</f>
        <v>0</v>
      </c>
      <c r="J21" s="116"/>
      <c r="K21" s="203" t="b">
        <f>(IF(J21="Consultant","enter manually",(IF(C21="W","na",(IF(C21="N","na",(IF(C21="I","na",(IF(C21="II",'Project Wide Estimates'!$J$15*'Project Wide Estimates'!$E$31,(IF('Individual Parcel Estimate'!C21="M","na",(IF('Individual Parcel Estimate'!C21="MI",'Project Wide Estimates'!$J$17*'Project Wide Estimates'!$E$31,(IF('Individual Parcel Estimate'!C21="C","na",(IF('Individual Parcel Estimate'!C21="CI",'Project Wide Estimates'!$J$19*'Project Wide Estimates'!$E$31))))))))))))))))))</f>
        <v>0</v>
      </c>
      <c r="L21" s="116"/>
      <c r="M21" s="203" t="b">
        <f>(IF(L21="Consultant","enter manually",(IF(C21="W","na",(IF(C21="N","na",(IF(C21="I","na",(IF(C21="II",'Project Wide Estimates'!$K$15*'Project Wide Estimates'!$E$31,(IF('Individual Parcel Estimate'!C21="M","na",(IF('Individual Parcel Estimate'!C21="MI",'Project Wide Estimates'!$K$17*'Project Wide Estimates'!$E$31,(IF('Individual Parcel Estimate'!C21="C","na",(IF('Individual Parcel Estimate'!C21="CI",'Project Wide Estimates'!$K$19*'Project Wide Estimates'!$E$31))))))))))))))))))</f>
        <v>0</v>
      </c>
      <c r="N21" s="217"/>
      <c r="O21" s="217"/>
      <c r="P21" s="203" t="b">
        <f>(IF(C21="W",('Project Wide Estimates'!$D$12+'Project Wide Estimates'!$E$12)*'Project Wide Estimates'!$E$31,(IF(C21="N",('Project Wide Estimates'!$D$13+'Project Wide Estimates'!$E$13)*'Project Wide Estimates'!$E$31,(IF('Individual Parcel Estimate'!C21="I",('Project Wide Estimates'!$D$14+'Project Wide Estimates'!$E$14)*'Project Wide Estimates'!$E$31,(IF('Individual Parcel Estimate'!C21="II",('Project Wide Estimates'!$D$15+'Project Wide Estimates'!$E$15)*'Project Wide Estimates'!$E$31,(IF('Individual Parcel Estimate'!C21="M",('Project Wide Estimates'!$D$16+'Project Wide Estimates'!$E$16)*'Project Wide Estimates'!$E$31,(IF('Individual Parcel Estimate'!C21="MI",('Project Wide Estimates'!$D$17+'Project Wide Estimates'!$E$17)*'Project Wide Estimates'!$E$31,(IF('Individual Parcel Estimate'!C21="C",('Project Wide Estimates'!$D$18+'Project Wide Estimates'!$E$18)*'Project Wide Estimates'!$E$31,(IF('Individual Parcel Estimate'!C21="CI",('Project Wide Estimates'!$D$19+'Project Wide Estimates'!$E$19)*'Project Wide Estimates'!$E$31))))))))))))))))</f>
        <v>0</v>
      </c>
      <c r="Q21" s="318"/>
      <c r="R21" s="114"/>
      <c r="S21" s="203" t="b">
        <f>(IF(U21="Agricultural 1",R21*'Project Wide Estimates'!$Q$15,(IF('Individual Parcel Estimate'!U21="Agricultural 2",'Individual Parcel Estimate'!R21*'Project Wide Estimates'!$Q$16,(IF('Individual Parcel Estimate'!U21="Residential 1",'Individual Parcel Estimate'!R21*'Project Wide Estimates'!$Q$17,(IF('Individual Parcel Estimate'!U21="Residential 2",'Individual Parcel Estimate'!R21*'Project Wide Estimates'!$Q$18,(IF('Individual Parcel Estimate'!U21="Commercial 1",'Individual Parcel Estimate'!R21*'Project Wide Estimates'!$Q$19,(IF('Individual Parcel Estimate'!U21="Commercial 2",'Individual Parcel Estimate'!R21*'Project Wide Estimates'!$Q$20,(IF('Individual Parcel Estimate'!U21="Industrial 1",'Individual Parcel Estimate'!R21*'Project Wide Estimates'!$Q$21,(IF('Individual Parcel Estimate'!U21="Industrial 2",'Individual Parcel Estimate'!R21*'Project Wide Estimates'!$Q$22,(IF('Individual Parcel Estimate'!U21="Other 1",'Individual Parcel Estimate'!R21*'Project Wide Estimates'!$Q$23,(IF('Individual Parcel Estimate'!U21="Other 2",'Individual Parcel Estimate'!R21*'Project Wide Estimates'!$Q$24))))))))))))))))))))</f>
        <v>0</v>
      </c>
      <c r="T21" s="231"/>
      <c r="U21" s="116"/>
      <c r="V21" s="114"/>
      <c r="W21" s="224"/>
      <c r="X21" s="114"/>
      <c r="Y21" s="203" t="b">
        <f>(IF(U21="Agricultural 1",X21*('Project Wide Estimates'!$Q$15*0.1),(IF('Individual Parcel Estimate'!U21="Agricultural 2",'Individual Parcel Estimate'!X21*('Project Wide Estimates'!$Q$16*0.1),(IF('Individual Parcel Estimate'!U21="Residential 1",'Individual Parcel Estimate'!X21*('Project Wide Estimates'!$Q$17*0.1),(IF('Individual Parcel Estimate'!U21="Residential 2",'Individual Parcel Estimate'!X21*('Project Wide Estimates'!$Q$18*0.1),(IF('Individual Parcel Estimate'!U21="Commercial 1",'Individual Parcel Estimate'!X21*('Project Wide Estimates'!$Q$19*0.1),(IF('Individual Parcel Estimate'!U21="Commercial 2",'Individual Parcel Estimate'!X21*('Project Wide Estimates'!$Q$20*0.1),(IF('Individual Parcel Estimate'!U21="Industrial 1",'Individual Parcel Estimate'!X21*('Project Wide Estimates'!$Q$21*0.1),(IF('Individual Parcel Estimate'!U21="Industrial 2",'Individual Parcel Estimate'!X21*('Project Wide Estimates'!$Q$22*0.1),(IF('Individual Parcel Estimate'!U21="Other 1",'Individual Parcel Estimate'!X21*('Project Wide Estimates'!$Q$23*0.1),(IF('Individual Parcel Estimate'!U21="Other 2",'Individual Parcel Estimate'!X21*('Project Wide Estimates'!$Q$24*0.1)))))))))))))))))))))</f>
        <v>0</v>
      </c>
      <c r="Z21" s="203" t="b">
        <f>(IF(U21="Agricultural 1",'Project Wide Estimates'!$Q$15*'Individual Parcel Estimate'!R21, (IF('Individual Parcel Estimate'!U21="Agricultural 2", 'Project Wide Estimates'!$Q$16*'Individual Parcel Estimate'!R21, (IF('Individual Parcel Estimate'!U21="Residential 1", 'Project Wide Estimates'!$Q$17*'Individual Parcel Estimate'!R21, (IF('Individual Parcel Estimate'!U21="Residential 2",'Project Wide Estimates'!$Q$18*'Individual Parcel Estimate'!R21, (IF('Individual Parcel Estimate'!U21="Commercial 1",'Project Wide Estimates'!$Q$19*'Individual Parcel Estimate'!R21, (IF('Individual Parcel Estimate'!U21="Commercial 2", 'Project Wide Estimates'!$Q$20*'Individual Parcel Estimate'!R21, (IF('Individual Parcel Estimate'!U21="Industrial 1", 'Project Wide Estimates'!$Q$21*'Individual Parcel Estimate'!R21, (IF('Individual Parcel Estimate'!U21="Industrial 2", 'Project Wide Estimates'!$Q$22*'Individual Parcel Estimate'!R21, (IF('Individual Parcel Estimate'!U21="Other 1", 'Project Wide Estimates'!$Q$23*'Individual Parcel Estimate'!R21, (IF('Individual Parcel Estimate'!U21="Other 2", 'Project Wide Estimates'!$Q$24*'Individual Parcel Estimate'!R21))))))))))))))))))))</f>
        <v>0</v>
      </c>
      <c r="AA21" s="222">
        <f t="shared" si="4"/>
        <v>0</v>
      </c>
      <c r="AB21" s="203" t="b">
        <f t="shared" si="0"/>
        <v>0</v>
      </c>
      <c r="AC21" s="217"/>
      <c r="AD21" s="217"/>
      <c r="AE21" s="219"/>
      <c r="AF21" s="217"/>
      <c r="AG21" s="217"/>
      <c r="AH21" s="217"/>
      <c r="AI21" s="217"/>
      <c r="AJ21" s="217"/>
      <c r="AK21" s="203">
        <f t="shared" si="1"/>
        <v>0</v>
      </c>
      <c r="AL21" s="203">
        <f t="shared" si="2"/>
        <v>0</v>
      </c>
      <c r="AM21" s="114"/>
      <c r="AN21" s="114"/>
      <c r="AO21" s="114"/>
      <c r="AP21" s="259">
        <f>AL21-(AN21+AO21)</f>
        <v>0</v>
      </c>
      <c r="AQ21" s="114"/>
    </row>
    <row r="22" spans="1:43">
      <c r="A22" s="114"/>
      <c r="B22" s="115"/>
      <c r="C22" s="116"/>
      <c r="D22" s="116"/>
      <c r="E22" s="116"/>
      <c r="F22" s="116"/>
      <c r="G22" s="203" t="b">
        <f>(IF(F22="Consultant", "enter manually", (IF(C22="W", 'Project Wide Estimates'!$H$12*'Project Wide Estimates'!$E$31, (IF(C22="N", ('Project Wide Estimates'!$H$13+'Project Wide Estimates'!$F$13)*'Project Wide Estimates'!$E$31, (IF('Individual Parcel Estimate'!C22="I", ('Project Wide Estimates'!$H$14+'Project Wide Estimates'!$F$14)*'Project Wide Estimates'!$E$31, (IF('Individual Parcel Estimate'!C22="II", ('Project Wide Estimates'!$H$15+'Project Wide Estimates'!$F$15)*'Project Wide Estimates'!$E$31, (IF('Individual Parcel Estimate'!C22="M", ('Project Wide Estimates'!$H$16+'Project Wide Estimates'!$F$16)*'Project Wide Estimates'!$E$31, (IF('Individual Parcel Estimate'!C22="MI", ('Project Wide Estimates'!$H$17+'Project Wide Estimates'!$F$17)*'Project Wide Estimates'!$E$31, (IF('Individual Parcel Estimate'!C22="C", ('Project Wide Estimates'!$H$18+'Project Wide Estimates'!$F$18)*'Project Wide Estimates'!$E$31, (IF('Individual Parcel Estimate'!C22="CI", ('Project Wide Estimates'!$H$19+'Project Wide Estimates'!$F$19)*'Project Wide Estimates'!$E$31))))))))))))))))))</f>
        <v>0</v>
      </c>
      <c r="H22" s="116"/>
      <c r="I22" s="203" t="b">
        <f>(IF(H22="Consultant","enter manually",(IF(C22="W",('Project Wide Estimates'!$G$12+'Project Wide Estimates'!$I$12+'Project Wide Estimates'!$F$12)*'Project Wide Estimates'!$E$31,(IF(C22="N",('Project Wide Estimates'!$G$13+'Project Wide Estimates'!$I$13)*'Project Wide Estimates'!$E$31,(IF('Individual Parcel Estimate'!C22="I",'Project Wide Estimates'!$I$14*'Project Wide Estimates'!$E$31,(IF('Individual Parcel Estimate'!C22="II",'Project Wide Estimates'!$I$15*'Project Wide Estimates'!$E$31,(IF('Individual Parcel Estimate'!C22="M",'Project Wide Estimates'!$I$16*'Project Wide Estimates'!$E$31,(IF('Individual Parcel Estimate'!C22="MI",'Project Wide Estimates'!$I$17*'Project Wide Estimates'!$E$31,(IF('Individual Parcel Estimate'!C22="C",'Project Wide Estimates'!$I$18*'Project Wide Estimates'!$E$31,(IF('Individual Parcel Estimate'!C22="CI",'Project Wide Estimates'!$I$19*'Project Wide Estimates'!$E$31))))))))))))))))))</f>
        <v>0</v>
      </c>
      <c r="J22" s="116"/>
      <c r="K22" s="203" t="b">
        <f>(IF(J22="Consultant","enter manually",(IF(C22="W","na",(IF(C22="N","na",(IF(C22="I","na",(IF(C22="II",'Project Wide Estimates'!$J$15*'Project Wide Estimates'!$E$31,(IF('Individual Parcel Estimate'!C22="M","na",(IF('Individual Parcel Estimate'!C22="MI",'Project Wide Estimates'!$J$17*'Project Wide Estimates'!$E$31,(IF('Individual Parcel Estimate'!C22="C","na",(IF('Individual Parcel Estimate'!C22="CI",'Project Wide Estimates'!$J$19*'Project Wide Estimates'!$E$31))))))))))))))))))</f>
        <v>0</v>
      </c>
      <c r="L22" s="116"/>
      <c r="M22" s="203" t="b">
        <f>(IF(L22="Consultant","enter manually",(IF(C22="W","na",(IF(C22="N","na",(IF(C22="I","na",(IF(C22="II",'Project Wide Estimates'!$K$15*'Project Wide Estimates'!$E$31,(IF('Individual Parcel Estimate'!C22="M","na",(IF('Individual Parcel Estimate'!C22="MI",'Project Wide Estimates'!$K$17*'Project Wide Estimates'!$E$31,(IF('Individual Parcel Estimate'!C22="C","na",(IF('Individual Parcel Estimate'!C22="CI",'Project Wide Estimates'!$K$19*'Project Wide Estimates'!$E$31))))))))))))))))))</f>
        <v>0</v>
      </c>
      <c r="N22" s="217"/>
      <c r="O22" s="217"/>
      <c r="P22" s="203" t="b">
        <f>(IF(C22="W",('Project Wide Estimates'!$D$12+'Project Wide Estimates'!$E$12)*'Project Wide Estimates'!$E$31,(IF(C22="N",('Project Wide Estimates'!$D$13+'Project Wide Estimates'!$E$13)*'Project Wide Estimates'!$E$31,(IF('Individual Parcel Estimate'!C22="I",('Project Wide Estimates'!$D$14+'Project Wide Estimates'!$E$14)*'Project Wide Estimates'!$E$31,(IF('Individual Parcel Estimate'!C22="II",('Project Wide Estimates'!$D$15+'Project Wide Estimates'!$E$15)*'Project Wide Estimates'!$E$31,(IF('Individual Parcel Estimate'!C22="M",('Project Wide Estimates'!$D$16+'Project Wide Estimates'!$E$16)*'Project Wide Estimates'!$E$31,(IF('Individual Parcel Estimate'!C22="MI",('Project Wide Estimates'!$D$17+'Project Wide Estimates'!$E$17)*'Project Wide Estimates'!$E$31,(IF('Individual Parcel Estimate'!C22="C",('Project Wide Estimates'!$D$18+'Project Wide Estimates'!$E$18)*'Project Wide Estimates'!$E$31,(IF('Individual Parcel Estimate'!C22="CI",('Project Wide Estimates'!$D$19+'Project Wide Estimates'!$E$19)*'Project Wide Estimates'!$E$31))))))))))))))))</f>
        <v>0</v>
      </c>
      <c r="Q22" s="318"/>
      <c r="R22" s="114"/>
      <c r="S22" s="203" t="b">
        <f>(IF(U22="Agricultural 1",R22*'Project Wide Estimates'!$Q$15,(IF('Individual Parcel Estimate'!U22="Agricultural 2",'Individual Parcel Estimate'!R22*'Project Wide Estimates'!$Q$16,(IF('Individual Parcel Estimate'!U22="Residential 1",'Individual Parcel Estimate'!R22*'Project Wide Estimates'!$Q$17,(IF('Individual Parcel Estimate'!U22="Residential 2",'Individual Parcel Estimate'!R22*'Project Wide Estimates'!$Q$18,(IF('Individual Parcel Estimate'!U22="Commercial 1",'Individual Parcel Estimate'!R22*'Project Wide Estimates'!$Q$19,(IF('Individual Parcel Estimate'!U22="Commercial 2",'Individual Parcel Estimate'!R22*'Project Wide Estimates'!$Q$20,(IF('Individual Parcel Estimate'!U22="Industrial 1",'Individual Parcel Estimate'!R22*'Project Wide Estimates'!$Q$21,(IF('Individual Parcel Estimate'!U22="Industrial 2",'Individual Parcel Estimate'!R22*'Project Wide Estimates'!$Q$22,(IF('Individual Parcel Estimate'!U22="Other 1",'Individual Parcel Estimate'!R22*'Project Wide Estimates'!$Q$23,(IF('Individual Parcel Estimate'!U22="Other 2",'Individual Parcel Estimate'!R22*'Project Wide Estimates'!$Q$24))))))))))))))))))))</f>
        <v>0</v>
      </c>
      <c r="T22" s="231"/>
      <c r="U22" s="116"/>
      <c r="V22" s="114"/>
      <c r="W22" s="224"/>
      <c r="X22" s="114"/>
      <c r="Y22" s="203" t="b">
        <f>(IF(U22="Agricultural 1",X22*('Project Wide Estimates'!$Q$15*0.1),(IF('Individual Parcel Estimate'!U22="Agricultural 2",'Individual Parcel Estimate'!X22*('Project Wide Estimates'!$Q$16*0.1),(IF('Individual Parcel Estimate'!U22="Residential 1",'Individual Parcel Estimate'!X22*('Project Wide Estimates'!$Q$17*0.1),(IF('Individual Parcel Estimate'!U22="Residential 2",'Individual Parcel Estimate'!X22*('Project Wide Estimates'!$Q$18*0.1),(IF('Individual Parcel Estimate'!U22="Commercial 1",'Individual Parcel Estimate'!X22*('Project Wide Estimates'!$Q$19*0.1),(IF('Individual Parcel Estimate'!U22="Commercial 2",'Individual Parcel Estimate'!X22*('Project Wide Estimates'!$Q$20*0.1),(IF('Individual Parcel Estimate'!U22="Industrial 1",'Individual Parcel Estimate'!X22*('Project Wide Estimates'!$Q$21*0.1),(IF('Individual Parcel Estimate'!U22="Industrial 2",'Individual Parcel Estimate'!X22*('Project Wide Estimates'!$Q$22*0.1),(IF('Individual Parcel Estimate'!U22="Other 1",'Individual Parcel Estimate'!X22*('Project Wide Estimates'!$Q$23*0.1),(IF('Individual Parcel Estimate'!U22="Other 2",'Individual Parcel Estimate'!X22*('Project Wide Estimates'!$Q$24*0.1)))))))))))))))))))))</f>
        <v>0</v>
      </c>
      <c r="Z22" s="203" t="b">
        <f>(IF(U22="Agricultural 1",'Project Wide Estimates'!$Q$15*'Individual Parcel Estimate'!R22, (IF('Individual Parcel Estimate'!U22="Agricultural 2", 'Project Wide Estimates'!$Q$16*'Individual Parcel Estimate'!R22, (IF('Individual Parcel Estimate'!U22="Residential 1", 'Project Wide Estimates'!$Q$17*'Individual Parcel Estimate'!R22, (IF('Individual Parcel Estimate'!U22="Residential 2",'Project Wide Estimates'!$Q$18*'Individual Parcel Estimate'!R22, (IF('Individual Parcel Estimate'!U22="Commercial 1",'Project Wide Estimates'!$Q$19*'Individual Parcel Estimate'!R22, (IF('Individual Parcel Estimate'!U22="Commercial 2", 'Project Wide Estimates'!$Q$20*'Individual Parcel Estimate'!R22, (IF('Individual Parcel Estimate'!U22="Industrial 1", 'Project Wide Estimates'!$Q$21*'Individual Parcel Estimate'!R22, (IF('Individual Parcel Estimate'!U22="Industrial 2", 'Project Wide Estimates'!$Q$22*'Individual Parcel Estimate'!R22, (IF('Individual Parcel Estimate'!U22="Other 1", 'Project Wide Estimates'!$Q$23*'Individual Parcel Estimate'!R22, (IF('Individual Parcel Estimate'!U22="Other 2", 'Project Wide Estimates'!$Q$24*'Individual Parcel Estimate'!R22))))))))))))))))))))</f>
        <v>0</v>
      </c>
      <c r="AA22" s="222">
        <f t="shared" si="4"/>
        <v>0</v>
      </c>
      <c r="AB22" s="203" t="b">
        <f t="shared" si="0"/>
        <v>0</v>
      </c>
      <c r="AC22" s="217"/>
      <c r="AD22" s="217"/>
      <c r="AE22" s="219"/>
      <c r="AF22" s="217"/>
      <c r="AG22" s="217"/>
      <c r="AH22" s="217"/>
      <c r="AI22" s="217"/>
      <c r="AJ22" s="217"/>
      <c r="AK22" s="203">
        <f t="shared" si="1"/>
        <v>0</v>
      </c>
      <c r="AL22" s="203">
        <f t="shared" si="2"/>
        <v>0</v>
      </c>
      <c r="AM22" s="114"/>
      <c r="AN22" s="114"/>
      <c r="AO22" s="114"/>
      <c r="AP22" s="259">
        <f t="shared" ref="AP22:AP57" si="5">AL22-(AN22+AO22)</f>
        <v>0</v>
      </c>
      <c r="AQ22" s="114"/>
    </row>
    <row r="23" spans="1:43">
      <c r="A23" s="114"/>
      <c r="B23" s="115"/>
      <c r="C23" s="116"/>
      <c r="D23" s="116"/>
      <c r="E23" s="116"/>
      <c r="F23" s="116"/>
      <c r="G23" s="203" t="b">
        <f>(IF(F23="Consultant", "enter manually", (IF(C23="W", 'Project Wide Estimates'!$H$12*'Project Wide Estimates'!$E$31, (IF(C23="N", ('Project Wide Estimates'!$H$13+'Project Wide Estimates'!$F$13)*'Project Wide Estimates'!$E$31, (IF('Individual Parcel Estimate'!C23="I", ('Project Wide Estimates'!$H$14+'Project Wide Estimates'!$F$14)*'Project Wide Estimates'!$E$31, (IF('Individual Parcel Estimate'!C23="II", ('Project Wide Estimates'!$H$15+'Project Wide Estimates'!$F$15)*'Project Wide Estimates'!$E$31, (IF('Individual Parcel Estimate'!C23="M", ('Project Wide Estimates'!$H$16+'Project Wide Estimates'!$F$16)*'Project Wide Estimates'!$E$31, (IF('Individual Parcel Estimate'!C23="MI", ('Project Wide Estimates'!$H$17+'Project Wide Estimates'!$F$17)*'Project Wide Estimates'!$E$31, (IF('Individual Parcel Estimate'!C23="C", ('Project Wide Estimates'!$H$18+'Project Wide Estimates'!$F$18)*'Project Wide Estimates'!$E$31, (IF('Individual Parcel Estimate'!C23="CI", ('Project Wide Estimates'!$H$19+'Project Wide Estimates'!$F$19)*'Project Wide Estimates'!$E$31))))))))))))))))))</f>
        <v>0</v>
      </c>
      <c r="H23" s="116"/>
      <c r="I23" s="203" t="b">
        <f>(IF(H23="Consultant","enter manually",(IF(C23="W",('Project Wide Estimates'!$G$12+'Project Wide Estimates'!$I$12+'Project Wide Estimates'!$F$12)*'Project Wide Estimates'!$E$31,(IF(C23="N",('Project Wide Estimates'!$G$13+'Project Wide Estimates'!$I$13)*'Project Wide Estimates'!$E$31,(IF('Individual Parcel Estimate'!C23="I",'Project Wide Estimates'!$I$14*'Project Wide Estimates'!$E$31,(IF('Individual Parcel Estimate'!C23="II",'Project Wide Estimates'!$I$15*'Project Wide Estimates'!$E$31,(IF('Individual Parcel Estimate'!C23="M",'Project Wide Estimates'!$I$16*'Project Wide Estimates'!$E$31,(IF('Individual Parcel Estimate'!C23="MI",'Project Wide Estimates'!$I$17*'Project Wide Estimates'!$E$31,(IF('Individual Parcel Estimate'!C23="C",'Project Wide Estimates'!$I$18*'Project Wide Estimates'!$E$31,(IF('Individual Parcel Estimate'!C23="CI",'Project Wide Estimates'!$I$19*'Project Wide Estimates'!$E$31))))))))))))))))))</f>
        <v>0</v>
      </c>
      <c r="J23" s="116"/>
      <c r="K23" s="203" t="b">
        <f>(IF(J23="Consultant","enter manually",(IF(C23="W","na",(IF(C23="N","na",(IF(C23="I","na",(IF(C23="II",'Project Wide Estimates'!$J$15*'Project Wide Estimates'!$E$31,(IF('Individual Parcel Estimate'!C23="M","na",(IF('Individual Parcel Estimate'!C23="MI",'Project Wide Estimates'!$J$17*'Project Wide Estimates'!$E$31,(IF('Individual Parcel Estimate'!C23="C","na",(IF('Individual Parcel Estimate'!C23="CI",'Project Wide Estimates'!$J$19*'Project Wide Estimates'!$E$31))))))))))))))))))</f>
        <v>0</v>
      </c>
      <c r="L23" s="116"/>
      <c r="M23" s="203" t="b">
        <f>(IF(L23="Consultant","enter manually",(IF(C23="W","na",(IF(C23="N","na",(IF(C23="I","na",(IF(C23="II",'Project Wide Estimates'!$K$15*'Project Wide Estimates'!$E$31,(IF('Individual Parcel Estimate'!C23="M","na",(IF('Individual Parcel Estimate'!C23="MI",'Project Wide Estimates'!$K$17*'Project Wide Estimates'!$E$31,(IF('Individual Parcel Estimate'!C23="C","na",(IF('Individual Parcel Estimate'!C23="CI",'Project Wide Estimates'!$K$19*'Project Wide Estimates'!$E$31))))))))))))))))))</f>
        <v>0</v>
      </c>
      <c r="N23" s="217"/>
      <c r="O23" s="217"/>
      <c r="P23" s="203" t="b">
        <f>(IF(C23="W",('Project Wide Estimates'!$D$12+'Project Wide Estimates'!$E$12)*'Project Wide Estimates'!$E$31,(IF(C23="N",('Project Wide Estimates'!$D$13+'Project Wide Estimates'!$E$13)*'Project Wide Estimates'!$E$31,(IF('Individual Parcel Estimate'!C23="I",('Project Wide Estimates'!$D$14+'Project Wide Estimates'!$E$14)*'Project Wide Estimates'!$E$31,(IF('Individual Parcel Estimate'!C23="II",('Project Wide Estimates'!$D$15+'Project Wide Estimates'!$E$15)*'Project Wide Estimates'!$E$31,(IF('Individual Parcel Estimate'!C23="M",('Project Wide Estimates'!$D$16+'Project Wide Estimates'!$E$16)*'Project Wide Estimates'!$E$31,(IF('Individual Parcel Estimate'!C23="MI",('Project Wide Estimates'!$D$17+'Project Wide Estimates'!$E$17)*'Project Wide Estimates'!$E$31,(IF('Individual Parcel Estimate'!C23="C",('Project Wide Estimates'!$D$18+'Project Wide Estimates'!$E$18)*'Project Wide Estimates'!$E$31,(IF('Individual Parcel Estimate'!C23="CI",('Project Wide Estimates'!$D$19+'Project Wide Estimates'!$E$19)*'Project Wide Estimates'!$E$31))))))))))))))))</f>
        <v>0</v>
      </c>
      <c r="Q23" s="318"/>
      <c r="R23" s="114"/>
      <c r="S23" s="203" t="b">
        <f>(IF(U23="Agricultural 1",R23*'Project Wide Estimates'!$Q$15,(IF('Individual Parcel Estimate'!U23="Agricultural 2",'Individual Parcel Estimate'!R23*'Project Wide Estimates'!$Q$16,(IF('Individual Parcel Estimate'!U23="Residential 1",'Individual Parcel Estimate'!R23*'Project Wide Estimates'!$Q$17,(IF('Individual Parcel Estimate'!U23="Residential 2",'Individual Parcel Estimate'!R23*'Project Wide Estimates'!$Q$18,(IF('Individual Parcel Estimate'!U23="Commercial 1",'Individual Parcel Estimate'!R23*'Project Wide Estimates'!$Q$19,(IF('Individual Parcel Estimate'!U23="Commercial 2",'Individual Parcel Estimate'!R23*'Project Wide Estimates'!$Q$20,(IF('Individual Parcel Estimate'!U23="Industrial 1",'Individual Parcel Estimate'!R23*'Project Wide Estimates'!$Q$21,(IF('Individual Parcel Estimate'!U23="Industrial 2",'Individual Parcel Estimate'!R23*'Project Wide Estimates'!$Q$22,(IF('Individual Parcel Estimate'!U23="Other 1",'Individual Parcel Estimate'!R23*'Project Wide Estimates'!$Q$23,(IF('Individual Parcel Estimate'!U23="Other 2",'Individual Parcel Estimate'!R23*'Project Wide Estimates'!$Q$24))))))))))))))))))))</f>
        <v>0</v>
      </c>
      <c r="T23" s="231"/>
      <c r="U23" s="116"/>
      <c r="V23" s="114"/>
      <c r="W23" s="224"/>
      <c r="X23" s="114"/>
      <c r="Y23" s="203" t="b">
        <f>(IF(U23="Agricultural 1",X23*('Project Wide Estimates'!$Q$15*0.1),(IF('Individual Parcel Estimate'!U23="Agricultural 2",'Individual Parcel Estimate'!X23*('Project Wide Estimates'!$Q$16*0.1),(IF('Individual Parcel Estimate'!U23="Residential 1",'Individual Parcel Estimate'!X23*('Project Wide Estimates'!$Q$17*0.1),(IF('Individual Parcel Estimate'!U23="Residential 2",'Individual Parcel Estimate'!X23*('Project Wide Estimates'!$Q$18*0.1),(IF('Individual Parcel Estimate'!U23="Commercial 1",'Individual Parcel Estimate'!X23*('Project Wide Estimates'!$Q$19*0.1),(IF('Individual Parcel Estimate'!U23="Commercial 2",'Individual Parcel Estimate'!X23*('Project Wide Estimates'!$Q$20*0.1),(IF('Individual Parcel Estimate'!U23="Industrial 1",'Individual Parcel Estimate'!X23*('Project Wide Estimates'!$Q$21*0.1),(IF('Individual Parcel Estimate'!U23="Industrial 2",'Individual Parcel Estimate'!X23*('Project Wide Estimates'!$Q$22*0.1),(IF('Individual Parcel Estimate'!U23="Other 1",'Individual Parcel Estimate'!X23*('Project Wide Estimates'!$Q$23*0.1),(IF('Individual Parcel Estimate'!U23="Other 2",'Individual Parcel Estimate'!X23*('Project Wide Estimates'!$Q$24*0.1)))))))))))))))))))))</f>
        <v>0</v>
      </c>
      <c r="Z23" s="203" t="b">
        <f>(IF(U23="Agricultural 1",'Project Wide Estimates'!$Q$15*'Individual Parcel Estimate'!R23, (IF('Individual Parcel Estimate'!U23="Agricultural 2", 'Project Wide Estimates'!$Q$16*'Individual Parcel Estimate'!R23, (IF('Individual Parcel Estimate'!U23="Residential 1", 'Project Wide Estimates'!$Q$17*'Individual Parcel Estimate'!R23, (IF('Individual Parcel Estimate'!U23="Residential 2",'Project Wide Estimates'!$Q$18*'Individual Parcel Estimate'!R23, (IF('Individual Parcel Estimate'!U23="Commercial 1",'Project Wide Estimates'!$Q$19*'Individual Parcel Estimate'!R23, (IF('Individual Parcel Estimate'!U23="Commercial 2", 'Project Wide Estimates'!$Q$20*'Individual Parcel Estimate'!R23, (IF('Individual Parcel Estimate'!U23="Industrial 1", 'Project Wide Estimates'!$Q$21*'Individual Parcel Estimate'!R23, (IF('Individual Parcel Estimate'!U23="Industrial 2", 'Project Wide Estimates'!$Q$22*'Individual Parcel Estimate'!R23, (IF('Individual Parcel Estimate'!U23="Other 1", 'Project Wide Estimates'!$Q$23*'Individual Parcel Estimate'!R23, (IF('Individual Parcel Estimate'!U23="Other 2", 'Project Wide Estimates'!$Q$24*'Individual Parcel Estimate'!R23))))))))))))))))))))</f>
        <v>0</v>
      </c>
      <c r="AA23" s="222">
        <f t="shared" si="4"/>
        <v>0</v>
      </c>
      <c r="AB23" s="203" t="b">
        <f t="shared" si="0"/>
        <v>0</v>
      </c>
      <c r="AC23" s="217"/>
      <c r="AD23" s="217"/>
      <c r="AE23" s="219"/>
      <c r="AF23" s="217"/>
      <c r="AG23" s="217"/>
      <c r="AH23" s="217"/>
      <c r="AI23" s="217"/>
      <c r="AJ23" s="217"/>
      <c r="AK23" s="203">
        <f t="shared" si="1"/>
        <v>0</v>
      </c>
      <c r="AL23" s="203">
        <f t="shared" si="2"/>
        <v>0</v>
      </c>
      <c r="AM23" s="114"/>
      <c r="AN23" s="114"/>
      <c r="AO23" s="114"/>
      <c r="AP23" s="259">
        <f t="shared" si="5"/>
        <v>0</v>
      </c>
      <c r="AQ23" s="114"/>
    </row>
    <row r="24" spans="1:43">
      <c r="A24" s="114"/>
      <c r="B24" s="115"/>
      <c r="C24" s="116"/>
      <c r="D24" s="116"/>
      <c r="E24" s="116"/>
      <c r="F24" s="116"/>
      <c r="G24" s="203" t="b">
        <f>(IF(F24="Consultant", "enter manually", (IF(C24="W", 'Project Wide Estimates'!$H$12*'Project Wide Estimates'!$E$31, (IF(C24="N", ('Project Wide Estimates'!$H$13+'Project Wide Estimates'!$F$13)*'Project Wide Estimates'!$E$31, (IF('Individual Parcel Estimate'!C24="I", ('Project Wide Estimates'!$H$14+'Project Wide Estimates'!$F$14)*'Project Wide Estimates'!$E$31, (IF('Individual Parcel Estimate'!C24="II", ('Project Wide Estimates'!$H$15+'Project Wide Estimates'!$F$15)*'Project Wide Estimates'!$E$31, (IF('Individual Parcel Estimate'!C24="M", ('Project Wide Estimates'!$H$16+'Project Wide Estimates'!$F$16)*'Project Wide Estimates'!$E$31, (IF('Individual Parcel Estimate'!C24="MI", ('Project Wide Estimates'!$H$17+'Project Wide Estimates'!$F$17)*'Project Wide Estimates'!$E$31, (IF('Individual Parcel Estimate'!C24="C", ('Project Wide Estimates'!$H$18+'Project Wide Estimates'!$F$18)*'Project Wide Estimates'!$E$31, (IF('Individual Parcel Estimate'!C24="CI", ('Project Wide Estimates'!$H$19+'Project Wide Estimates'!$F$19)*'Project Wide Estimates'!$E$31))))))))))))))))))</f>
        <v>0</v>
      </c>
      <c r="H24" s="116"/>
      <c r="I24" s="203" t="b">
        <f>(IF(H24="Consultant","enter manually",(IF(C24="W",('Project Wide Estimates'!$G$12+'Project Wide Estimates'!$I$12+'Project Wide Estimates'!$F$12)*'Project Wide Estimates'!$E$31,(IF(C24="N",('Project Wide Estimates'!$G$13+'Project Wide Estimates'!$I$13)*'Project Wide Estimates'!$E$31,(IF('Individual Parcel Estimate'!C24="I",'Project Wide Estimates'!$I$14*'Project Wide Estimates'!$E$31,(IF('Individual Parcel Estimate'!C24="II",'Project Wide Estimates'!$I$15*'Project Wide Estimates'!$E$31,(IF('Individual Parcel Estimate'!C24="M",'Project Wide Estimates'!$I$16*'Project Wide Estimates'!$E$31,(IF('Individual Parcel Estimate'!C24="MI",'Project Wide Estimates'!$I$17*'Project Wide Estimates'!$E$31,(IF('Individual Parcel Estimate'!C24="C",'Project Wide Estimates'!$I$18*'Project Wide Estimates'!$E$31,(IF('Individual Parcel Estimate'!C24="CI",'Project Wide Estimates'!$I$19*'Project Wide Estimates'!$E$31))))))))))))))))))</f>
        <v>0</v>
      </c>
      <c r="J24" s="116"/>
      <c r="K24" s="203" t="b">
        <f>(IF(J24="Consultant","enter manually",(IF(C24="W","na",(IF(C24="N","na",(IF(C24="I","na",(IF(C24="II",'Project Wide Estimates'!$J$15*'Project Wide Estimates'!$E$31,(IF('Individual Parcel Estimate'!C24="M","na",(IF('Individual Parcel Estimate'!C24="MI",'Project Wide Estimates'!$J$17*'Project Wide Estimates'!$E$31,(IF('Individual Parcel Estimate'!C24="C","na",(IF('Individual Parcel Estimate'!C24="CI",'Project Wide Estimates'!$J$19*'Project Wide Estimates'!$E$31))))))))))))))))))</f>
        <v>0</v>
      </c>
      <c r="L24" s="116"/>
      <c r="M24" s="203" t="b">
        <f>(IF(L24="Consultant","enter manually",(IF(C24="W","na",(IF(C24="N","na",(IF(C24="I","na",(IF(C24="II",'Project Wide Estimates'!$K$15*'Project Wide Estimates'!$E$31,(IF('Individual Parcel Estimate'!C24="M","na",(IF('Individual Parcel Estimate'!C24="MI",'Project Wide Estimates'!$K$17*'Project Wide Estimates'!$E$31,(IF('Individual Parcel Estimate'!C24="C","na",(IF('Individual Parcel Estimate'!C24="CI",'Project Wide Estimates'!$K$19*'Project Wide Estimates'!$E$31))))))))))))))))))</f>
        <v>0</v>
      </c>
      <c r="N24" s="217"/>
      <c r="O24" s="217"/>
      <c r="P24" s="203" t="b">
        <f>(IF(C24="W",('Project Wide Estimates'!$D$12+'Project Wide Estimates'!$E$12)*'Project Wide Estimates'!$E$31,(IF(C24="N",('Project Wide Estimates'!$D$13+'Project Wide Estimates'!$E$13)*'Project Wide Estimates'!$E$31,(IF('Individual Parcel Estimate'!C24="I",('Project Wide Estimates'!$D$14+'Project Wide Estimates'!$E$14)*'Project Wide Estimates'!$E$31,(IF('Individual Parcel Estimate'!C24="II",('Project Wide Estimates'!$D$15+'Project Wide Estimates'!$E$15)*'Project Wide Estimates'!$E$31,(IF('Individual Parcel Estimate'!C24="M",('Project Wide Estimates'!$D$16+'Project Wide Estimates'!$E$16)*'Project Wide Estimates'!$E$31,(IF('Individual Parcel Estimate'!C24="MI",('Project Wide Estimates'!$D$17+'Project Wide Estimates'!$E$17)*'Project Wide Estimates'!$E$31,(IF('Individual Parcel Estimate'!C24="C",('Project Wide Estimates'!$D$18+'Project Wide Estimates'!$E$18)*'Project Wide Estimates'!$E$31,(IF('Individual Parcel Estimate'!C24="CI",('Project Wide Estimates'!$D$19+'Project Wide Estimates'!$E$19)*'Project Wide Estimates'!$E$31))))))))))))))))</f>
        <v>0</v>
      </c>
      <c r="Q24" s="318"/>
      <c r="R24" s="114"/>
      <c r="S24" s="203" t="b">
        <f>(IF(U24="Agricultural 1",R24*'Project Wide Estimates'!$Q$15,(IF('Individual Parcel Estimate'!U24="Agricultural 2",'Individual Parcel Estimate'!R24*'Project Wide Estimates'!$Q$16,(IF('Individual Parcel Estimate'!U24="Residential 1",'Individual Parcel Estimate'!R24*'Project Wide Estimates'!$Q$17,(IF('Individual Parcel Estimate'!U24="Residential 2",'Individual Parcel Estimate'!R24*'Project Wide Estimates'!$Q$18,(IF('Individual Parcel Estimate'!U24="Commercial 1",'Individual Parcel Estimate'!R24*'Project Wide Estimates'!$Q$19,(IF('Individual Parcel Estimate'!U24="Commercial 2",'Individual Parcel Estimate'!R24*'Project Wide Estimates'!$Q$20,(IF('Individual Parcel Estimate'!U24="Industrial 1",'Individual Parcel Estimate'!R24*'Project Wide Estimates'!$Q$21,(IF('Individual Parcel Estimate'!U24="Industrial 2",'Individual Parcel Estimate'!R24*'Project Wide Estimates'!$Q$22,(IF('Individual Parcel Estimate'!U24="Other 1",'Individual Parcel Estimate'!R24*'Project Wide Estimates'!$Q$23,(IF('Individual Parcel Estimate'!U24="Other 2",'Individual Parcel Estimate'!R24*'Project Wide Estimates'!$Q$24))))))))))))))))))))</f>
        <v>0</v>
      </c>
      <c r="T24" s="231"/>
      <c r="U24" s="116"/>
      <c r="V24" s="114"/>
      <c r="W24" s="224"/>
      <c r="X24" s="114"/>
      <c r="Y24" s="203" t="b">
        <f>(IF(U24="Agricultural 1",X24*('Project Wide Estimates'!$Q$15*0.1),(IF('Individual Parcel Estimate'!U24="Agricultural 2",'Individual Parcel Estimate'!X24*('Project Wide Estimates'!$Q$16*0.1),(IF('Individual Parcel Estimate'!U24="Residential 1",'Individual Parcel Estimate'!X24*('Project Wide Estimates'!$Q$17*0.1),(IF('Individual Parcel Estimate'!U24="Residential 2",'Individual Parcel Estimate'!X24*('Project Wide Estimates'!$Q$18*0.1),(IF('Individual Parcel Estimate'!U24="Commercial 1",'Individual Parcel Estimate'!X24*('Project Wide Estimates'!$Q$19*0.1),(IF('Individual Parcel Estimate'!U24="Commercial 2",'Individual Parcel Estimate'!X24*('Project Wide Estimates'!$Q$20*0.1),(IF('Individual Parcel Estimate'!U24="Industrial 1",'Individual Parcel Estimate'!X24*('Project Wide Estimates'!$Q$21*0.1),(IF('Individual Parcel Estimate'!U24="Industrial 2",'Individual Parcel Estimate'!X24*('Project Wide Estimates'!$Q$22*0.1),(IF('Individual Parcel Estimate'!U24="Other 1",'Individual Parcel Estimate'!X24*('Project Wide Estimates'!$Q$23*0.1),(IF('Individual Parcel Estimate'!U24="Other 2",'Individual Parcel Estimate'!X24*('Project Wide Estimates'!$Q$24*0.1)))))))))))))))))))))</f>
        <v>0</v>
      </c>
      <c r="Z24" s="203" t="b">
        <f>(IF(U24="Agricultural 1",'Project Wide Estimates'!$Q$15*'Individual Parcel Estimate'!R24, (IF('Individual Parcel Estimate'!U24="Agricultural 2", 'Project Wide Estimates'!$Q$16*'Individual Parcel Estimate'!R24, (IF('Individual Parcel Estimate'!U24="Residential 1", 'Project Wide Estimates'!$Q$17*'Individual Parcel Estimate'!R24, (IF('Individual Parcel Estimate'!U24="Residential 2",'Project Wide Estimates'!$Q$18*'Individual Parcel Estimate'!R24, (IF('Individual Parcel Estimate'!U24="Commercial 1",'Project Wide Estimates'!$Q$19*'Individual Parcel Estimate'!R24, (IF('Individual Parcel Estimate'!U24="Commercial 2", 'Project Wide Estimates'!$Q$20*'Individual Parcel Estimate'!R24, (IF('Individual Parcel Estimate'!U24="Industrial 1", 'Project Wide Estimates'!$Q$21*'Individual Parcel Estimate'!R24, (IF('Individual Parcel Estimate'!U24="Industrial 2", 'Project Wide Estimates'!$Q$22*'Individual Parcel Estimate'!R24, (IF('Individual Parcel Estimate'!U24="Other 1", 'Project Wide Estimates'!$Q$23*'Individual Parcel Estimate'!R24, (IF('Individual Parcel Estimate'!U24="Other 2", 'Project Wide Estimates'!$Q$24*'Individual Parcel Estimate'!R24))))))))))))))))))))</f>
        <v>0</v>
      </c>
      <c r="AA24" s="222">
        <f t="shared" si="4"/>
        <v>0</v>
      </c>
      <c r="AB24" s="203" t="b">
        <f t="shared" si="0"/>
        <v>0</v>
      </c>
      <c r="AC24" s="217"/>
      <c r="AD24" s="217"/>
      <c r="AE24" s="219"/>
      <c r="AF24" s="217"/>
      <c r="AG24" s="217"/>
      <c r="AH24" s="217"/>
      <c r="AI24" s="217"/>
      <c r="AJ24" s="217"/>
      <c r="AK24" s="203">
        <f t="shared" si="1"/>
        <v>0</v>
      </c>
      <c r="AL24" s="203">
        <f t="shared" si="2"/>
        <v>0</v>
      </c>
      <c r="AM24" s="114"/>
      <c r="AN24" s="114"/>
      <c r="AO24" s="114"/>
      <c r="AP24" s="259">
        <f t="shared" si="5"/>
        <v>0</v>
      </c>
      <c r="AQ24" s="114"/>
    </row>
    <row r="25" spans="1:43">
      <c r="A25" s="114"/>
      <c r="B25" s="115"/>
      <c r="C25" s="116"/>
      <c r="D25" s="116"/>
      <c r="E25" s="116"/>
      <c r="F25" s="116"/>
      <c r="G25" s="203" t="b">
        <f>(IF(F25="Consultant", "enter manually", (IF(C25="W", 'Project Wide Estimates'!$H$12*'Project Wide Estimates'!$E$31, (IF(C25="N", ('Project Wide Estimates'!$H$13+'Project Wide Estimates'!$F$13)*'Project Wide Estimates'!$E$31, (IF('Individual Parcel Estimate'!C25="I", ('Project Wide Estimates'!$H$14+'Project Wide Estimates'!$F$14)*'Project Wide Estimates'!$E$31, (IF('Individual Parcel Estimate'!C25="II", ('Project Wide Estimates'!$H$15+'Project Wide Estimates'!$F$15)*'Project Wide Estimates'!$E$31, (IF('Individual Parcel Estimate'!C25="M", ('Project Wide Estimates'!$H$16+'Project Wide Estimates'!$F$16)*'Project Wide Estimates'!$E$31, (IF('Individual Parcel Estimate'!C25="MI", ('Project Wide Estimates'!$H$17+'Project Wide Estimates'!$F$17)*'Project Wide Estimates'!$E$31, (IF('Individual Parcel Estimate'!C25="C", ('Project Wide Estimates'!$H$18+'Project Wide Estimates'!$F$18)*'Project Wide Estimates'!$E$31, (IF('Individual Parcel Estimate'!C25="CI", ('Project Wide Estimates'!$H$19+'Project Wide Estimates'!$F$19)*'Project Wide Estimates'!$E$31))))))))))))))))))</f>
        <v>0</v>
      </c>
      <c r="H25" s="116"/>
      <c r="I25" s="203" t="b">
        <f>(IF(H25="Consultant","enter manually",(IF(C25="W",('Project Wide Estimates'!$G$12+'Project Wide Estimates'!$I$12+'Project Wide Estimates'!$F$12)*'Project Wide Estimates'!$E$31,(IF(C25="N",('Project Wide Estimates'!$G$13+'Project Wide Estimates'!$I$13)*'Project Wide Estimates'!$E$31,(IF('Individual Parcel Estimate'!C25="I",'Project Wide Estimates'!$I$14*'Project Wide Estimates'!$E$31,(IF('Individual Parcel Estimate'!C25="II",'Project Wide Estimates'!$I$15*'Project Wide Estimates'!$E$31,(IF('Individual Parcel Estimate'!C25="M",'Project Wide Estimates'!$I$16*'Project Wide Estimates'!$E$31,(IF('Individual Parcel Estimate'!C25="MI",'Project Wide Estimates'!$I$17*'Project Wide Estimates'!$E$31,(IF('Individual Parcel Estimate'!C25="C",'Project Wide Estimates'!$I$18*'Project Wide Estimates'!$E$31,(IF('Individual Parcel Estimate'!C25="CI",'Project Wide Estimates'!$I$19*'Project Wide Estimates'!$E$31))))))))))))))))))</f>
        <v>0</v>
      </c>
      <c r="J25" s="116"/>
      <c r="K25" s="203" t="b">
        <f>(IF(J25="Consultant","enter manually",(IF(C25="W","na",(IF(C25="N","na",(IF(C25="I","na",(IF(C25="II",'Project Wide Estimates'!$J$15*'Project Wide Estimates'!$E$31,(IF('Individual Parcel Estimate'!C25="M","na",(IF('Individual Parcel Estimate'!C25="MI",'Project Wide Estimates'!$J$17*'Project Wide Estimates'!$E$31,(IF('Individual Parcel Estimate'!C25="C","na",(IF('Individual Parcel Estimate'!C25="CI",'Project Wide Estimates'!$J$19*'Project Wide Estimates'!$E$31))))))))))))))))))</f>
        <v>0</v>
      </c>
      <c r="L25" s="116"/>
      <c r="M25" s="203" t="b">
        <f>(IF(L25="Consultant","enter manually",(IF(C25="W","na",(IF(C25="N","na",(IF(C25="I","na",(IF(C25="II",'Project Wide Estimates'!$K$15*'Project Wide Estimates'!$E$31,(IF('Individual Parcel Estimate'!C25="M","na",(IF('Individual Parcel Estimate'!C25="MI",'Project Wide Estimates'!$K$17*'Project Wide Estimates'!$E$31,(IF('Individual Parcel Estimate'!C25="C","na",(IF('Individual Parcel Estimate'!C25="CI",'Project Wide Estimates'!$K$19*'Project Wide Estimates'!$E$31))))))))))))))))))</f>
        <v>0</v>
      </c>
      <c r="N25" s="217"/>
      <c r="O25" s="217"/>
      <c r="P25" s="203" t="b">
        <f>(IF(C25="W",('Project Wide Estimates'!$D$12+'Project Wide Estimates'!$E$12)*'Project Wide Estimates'!$E$31,(IF(C25="N",('Project Wide Estimates'!$D$13+'Project Wide Estimates'!$E$13)*'Project Wide Estimates'!$E$31,(IF('Individual Parcel Estimate'!C25="I",('Project Wide Estimates'!$D$14+'Project Wide Estimates'!$E$14)*'Project Wide Estimates'!$E$31,(IF('Individual Parcel Estimate'!C25="II",('Project Wide Estimates'!$D$15+'Project Wide Estimates'!$E$15)*'Project Wide Estimates'!$E$31,(IF('Individual Parcel Estimate'!C25="M",('Project Wide Estimates'!$D$16+'Project Wide Estimates'!$E$16)*'Project Wide Estimates'!$E$31,(IF('Individual Parcel Estimate'!C25="MI",('Project Wide Estimates'!$D$17+'Project Wide Estimates'!$E$17)*'Project Wide Estimates'!$E$31,(IF('Individual Parcel Estimate'!C25="C",('Project Wide Estimates'!$D$18+'Project Wide Estimates'!$E$18)*'Project Wide Estimates'!$E$31,(IF('Individual Parcel Estimate'!C25="CI",('Project Wide Estimates'!$D$19+'Project Wide Estimates'!$E$19)*'Project Wide Estimates'!$E$31))))))))))))))))</f>
        <v>0</v>
      </c>
      <c r="Q25" s="318"/>
      <c r="R25" s="114"/>
      <c r="S25" s="203" t="b">
        <f>(IF(U25="Agricultural 1",R25*'Project Wide Estimates'!$Q$15,(IF('Individual Parcel Estimate'!U25="Agricultural 2",'Individual Parcel Estimate'!R25*'Project Wide Estimates'!$Q$16,(IF('Individual Parcel Estimate'!U25="Residential 1",'Individual Parcel Estimate'!R25*'Project Wide Estimates'!$Q$17,(IF('Individual Parcel Estimate'!U25="Residential 2",'Individual Parcel Estimate'!R25*'Project Wide Estimates'!$Q$18,(IF('Individual Parcel Estimate'!U25="Commercial 1",'Individual Parcel Estimate'!R25*'Project Wide Estimates'!$Q$19,(IF('Individual Parcel Estimate'!U25="Commercial 2",'Individual Parcel Estimate'!R25*'Project Wide Estimates'!$Q$20,(IF('Individual Parcel Estimate'!U25="Industrial 1",'Individual Parcel Estimate'!R25*'Project Wide Estimates'!$Q$21,(IF('Individual Parcel Estimate'!U25="Industrial 2",'Individual Parcel Estimate'!R25*'Project Wide Estimates'!$Q$22,(IF('Individual Parcel Estimate'!U25="Other 1",'Individual Parcel Estimate'!R25*'Project Wide Estimates'!$Q$23,(IF('Individual Parcel Estimate'!U25="Other 2",'Individual Parcel Estimate'!R25*'Project Wide Estimates'!$Q$24))))))))))))))))))))</f>
        <v>0</v>
      </c>
      <c r="T25" s="231"/>
      <c r="U25" s="116"/>
      <c r="V25" s="114"/>
      <c r="W25" s="224"/>
      <c r="X25" s="114"/>
      <c r="Y25" s="203" t="b">
        <f>(IF(U25="Agricultural 1",X25*('Project Wide Estimates'!$Q$15*0.1),(IF('Individual Parcel Estimate'!U25="Agricultural 2",'Individual Parcel Estimate'!X25*('Project Wide Estimates'!$Q$16*0.1),(IF('Individual Parcel Estimate'!U25="Residential 1",'Individual Parcel Estimate'!X25*('Project Wide Estimates'!$Q$17*0.1),(IF('Individual Parcel Estimate'!U25="Residential 2",'Individual Parcel Estimate'!X25*('Project Wide Estimates'!$Q$18*0.1),(IF('Individual Parcel Estimate'!U25="Commercial 1",'Individual Parcel Estimate'!X25*('Project Wide Estimates'!$Q$19*0.1),(IF('Individual Parcel Estimate'!U25="Commercial 2",'Individual Parcel Estimate'!X25*('Project Wide Estimates'!$Q$20*0.1),(IF('Individual Parcel Estimate'!U25="Industrial 1",'Individual Parcel Estimate'!X25*('Project Wide Estimates'!$Q$21*0.1),(IF('Individual Parcel Estimate'!U25="Industrial 2",'Individual Parcel Estimate'!X25*('Project Wide Estimates'!$Q$22*0.1),(IF('Individual Parcel Estimate'!U25="Other 1",'Individual Parcel Estimate'!X25*('Project Wide Estimates'!$Q$23*0.1),(IF('Individual Parcel Estimate'!U25="Other 2",'Individual Parcel Estimate'!X25*('Project Wide Estimates'!$Q$24*0.1)))))))))))))))))))))</f>
        <v>0</v>
      </c>
      <c r="Z25" s="203" t="b">
        <f>(IF(U25="Agricultural 1",'Project Wide Estimates'!$Q$15*'Individual Parcel Estimate'!R25, (IF('Individual Parcel Estimate'!U25="Agricultural 2", 'Project Wide Estimates'!$Q$16*'Individual Parcel Estimate'!R25, (IF('Individual Parcel Estimate'!U25="Residential 1", 'Project Wide Estimates'!$Q$17*'Individual Parcel Estimate'!R25, (IF('Individual Parcel Estimate'!U25="Residential 2",'Project Wide Estimates'!$Q$18*'Individual Parcel Estimate'!R25, (IF('Individual Parcel Estimate'!U25="Commercial 1",'Project Wide Estimates'!$Q$19*'Individual Parcel Estimate'!R25, (IF('Individual Parcel Estimate'!U25="Commercial 2", 'Project Wide Estimates'!$Q$20*'Individual Parcel Estimate'!R25, (IF('Individual Parcel Estimate'!U25="Industrial 1", 'Project Wide Estimates'!$Q$21*'Individual Parcel Estimate'!R25, (IF('Individual Parcel Estimate'!U25="Industrial 2", 'Project Wide Estimates'!$Q$22*'Individual Parcel Estimate'!R25, (IF('Individual Parcel Estimate'!U25="Other 1", 'Project Wide Estimates'!$Q$23*'Individual Parcel Estimate'!R25, (IF('Individual Parcel Estimate'!U25="Other 2", 'Project Wide Estimates'!$Q$24*'Individual Parcel Estimate'!R25))))))))))))))))))))</f>
        <v>0</v>
      </c>
      <c r="AA25" s="222">
        <f t="shared" si="4"/>
        <v>0</v>
      </c>
      <c r="AB25" s="203" t="b">
        <f t="shared" si="0"/>
        <v>0</v>
      </c>
      <c r="AC25" s="217"/>
      <c r="AD25" s="217"/>
      <c r="AE25" s="219"/>
      <c r="AF25" s="217"/>
      <c r="AG25" s="217"/>
      <c r="AH25" s="217"/>
      <c r="AI25" s="217"/>
      <c r="AJ25" s="217"/>
      <c r="AK25" s="203">
        <f t="shared" si="1"/>
        <v>0</v>
      </c>
      <c r="AL25" s="203">
        <f t="shared" si="2"/>
        <v>0</v>
      </c>
      <c r="AM25" s="114"/>
      <c r="AN25" s="114"/>
      <c r="AO25" s="114"/>
      <c r="AP25" s="259">
        <f t="shared" si="5"/>
        <v>0</v>
      </c>
      <c r="AQ25" s="114"/>
    </row>
    <row r="26" spans="1:43">
      <c r="A26" s="114"/>
      <c r="B26" s="115"/>
      <c r="C26" s="116"/>
      <c r="D26" s="116"/>
      <c r="E26" s="116"/>
      <c r="F26" s="116"/>
      <c r="G26" s="203" t="b">
        <f>(IF(F26="Consultant", "enter manually", (IF(C26="W", 'Project Wide Estimates'!$H$12*'Project Wide Estimates'!$E$31, (IF(C26="N", ('Project Wide Estimates'!$H$13+'Project Wide Estimates'!$F$13)*'Project Wide Estimates'!$E$31, (IF('Individual Parcel Estimate'!C26="I", ('Project Wide Estimates'!$H$14+'Project Wide Estimates'!$F$14)*'Project Wide Estimates'!$E$31, (IF('Individual Parcel Estimate'!C26="II", ('Project Wide Estimates'!$H$15+'Project Wide Estimates'!$F$15)*'Project Wide Estimates'!$E$31, (IF('Individual Parcel Estimate'!C26="M", ('Project Wide Estimates'!$H$16+'Project Wide Estimates'!$F$16)*'Project Wide Estimates'!$E$31, (IF('Individual Parcel Estimate'!C26="MI", ('Project Wide Estimates'!$H$17+'Project Wide Estimates'!$F$17)*'Project Wide Estimates'!$E$31, (IF('Individual Parcel Estimate'!C26="C", ('Project Wide Estimates'!$H$18+'Project Wide Estimates'!$F$18)*'Project Wide Estimates'!$E$31, (IF('Individual Parcel Estimate'!C26="CI", ('Project Wide Estimates'!$H$19+'Project Wide Estimates'!$F$19)*'Project Wide Estimates'!$E$31))))))))))))))))))</f>
        <v>0</v>
      </c>
      <c r="H26" s="116"/>
      <c r="I26" s="203" t="b">
        <f>(IF(H26="Consultant","enter manually",(IF(C26="W",('Project Wide Estimates'!$G$12+'Project Wide Estimates'!$I$12+'Project Wide Estimates'!$F$12)*'Project Wide Estimates'!$E$31,(IF(C26="N",('Project Wide Estimates'!$G$13+'Project Wide Estimates'!$I$13)*'Project Wide Estimates'!$E$31,(IF('Individual Parcel Estimate'!C26="I",'Project Wide Estimates'!$I$14*'Project Wide Estimates'!$E$31,(IF('Individual Parcel Estimate'!C26="II",'Project Wide Estimates'!$I$15*'Project Wide Estimates'!$E$31,(IF('Individual Parcel Estimate'!C26="M",'Project Wide Estimates'!$I$16*'Project Wide Estimates'!$E$31,(IF('Individual Parcel Estimate'!C26="MI",'Project Wide Estimates'!$I$17*'Project Wide Estimates'!$E$31,(IF('Individual Parcel Estimate'!C26="C",'Project Wide Estimates'!$I$18*'Project Wide Estimates'!$E$31,(IF('Individual Parcel Estimate'!C26="CI",'Project Wide Estimates'!$I$19*'Project Wide Estimates'!$E$31))))))))))))))))))</f>
        <v>0</v>
      </c>
      <c r="J26" s="116"/>
      <c r="K26" s="203" t="b">
        <f>(IF(J26="Consultant","enter manually",(IF(C26="W","na",(IF(C26="N","na",(IF(C26="I","na",(IF(C26="II",'Project Wide Estimates'!$J$15*'Project Wide Estimates'!$E$31,(IF('Individual Parcel Estimate'!C26="M","na",(IF('Individual Parcel Estimate'!C26="MI",'Project Wide Estimates'!$J$17*'Project Wide Estimates'!$E$31,(IF('Individual Parcel Estimate'!C26="C","na",(IF('Individual Parcel Estimate'!C26="CI",'Project Wide Estimates'!$J$19*'Project Wide Estimates'!$E$31))))))))))))))))))</f>
        <v>0</v>
      </c>
      <c r="L26" s="116"/>
      <c r="M26" s="203" t="b">
        <f>(IF(L26="Consultant","enter manually",(IF(C26="W","na",(IF(C26="N","na",(IF(C26="I","na",(IF(C26="II",'Project Wide Estimates'!$K$15*'Project Wide Estimates'!$E$31,(IF('Individual Parcel Estimate'!C26="M","na",(IF('Individual Parcel Estimate'!C26="MI",'Project Wide Estimates'!$K$17*'Project Wide Estimates'!$E$31,(IF('Individual Parcel Estimate'!C26="C","na",(IF('Individual Parcel Estimate'!C26="CI",'Project Wide Estimates'!$K$19*'Project Wide Estimates'!$E$31))))))))))))))))))</f>
        <v>0</v>
      </c>
      <c r="N26" s="217"/>
      <c r="O26" s="217"/>
      <c r="P26" s="203" t="b">
        <f>(IF(C26="W",('Project Wide Estimates'!$D$12+'Project Wide Estimates'!$E$12)*'Project Wide Estimates'!$E$31,(IF(C26="N",('Project Wide Estimates'!$D$13+'Project Wide Estimates'!$E$13)*'Project Wide Estimates'!$E$31,(IF('Individual Parcel Estimate'!C26="I",('Project Wide Estimates'!$D$14+'Project Wide Estimates'!$E$14)*'Project Wide Estimates'!$E$31,(IF('Individual Parcel Estimate'!C26="II",('Project Wide Estimates'!$D$15+'Project Wide Estimates'!$E$15)*'Project Wide Estimates'!$E$31,(IF('Individual Parcel Estimate'!C26="M",('Project Wide Estimates'!$D$16+'Project Wide Estimates'!$E$16)*'Project Wide Estimates'!$E$31,(IF('Individual Parcel Estimate'!C26="MI",('Project Wide Estimates'!$D$17+'Project Wide Estimates'!$E$17)*'Project Wide Estimates'!$E$31,(IF('Individual Parcel Estimate'!C26="C",('Project Wide Estimates'!$D$18+'Project Wide Estimates'!$E$18)*'Project Wide Estimates'!$E$31,(IF('Individual Parcel Estimate'!C26="CI",('Project Wide Estimates'!$D$19+'Project Wide Estimates'!$E$19)*'Project Wide Estimates'!$E$31))))))))))))))))</f>
        <v>0</v>
      </c>
      <c r="Q26" s="318"/>
      <c r="R26" s="114"/>
      <c r="S26" s="203" t="b">
        <f>(IF(U26="Agricultural 1",R26*'Project Wide Estimates'!$Q$15,(IF('Individual Parcel Estimate'!U26="Agricultural 2",'Individual Parcel Estimate'!R26*'Project Wide Estimates'!$Q$16,(IF('Individual Parcel Estimate'!U26="Residential 1",'Individual Parcel Estimate'!R26*'Project Wide Estimates'!$Q$17,(IF('Individual Parcel Estimate'!U26="Residential 2",'Individual Parcel Estimate'!R26*'Project Wide Estimates'!$Q$18,(IF('Individual Parcel Estimate'!U26="Commercial 1",'Individual Parcel Estimate'!R26*'Project Wide Estimates'!$Q$19,(IF('Individual Parcel Estimate'!U26="Commercial 2",'Individual Parcel Estimate'!R26*'Project Wide Estimates'!$Q$20,(IF('Individual Parcel Estimate'!U26="Industrial 1",'Individual Parcel Estimate'!R26*'Project Wide Estimates'!$Q$21,(IF('Individual Parcel Estimate'!U26="Industrial 2",'Individual Parcel Estimate'!R26*'Project Wide Estimates'!$Q$22,(IF('Individual Parcel Estimate'!U26="Other 1",'Individual Parcel Estimate'!R26*'Project Wide Estimates'!$Q$23,(IF('Individual Parcel Estimate'!U26="Other 2",'Individual Parcel Estimate'!R26*'Project Wide Estimates'!$Q$24))))))))))))))))))))</f>
        <v>0</v>
      </c>
      <c r="T26" s="231"/>
      <c r="U26" s="116"/>
      <c r="V26" s="114"/>
      <c r="W26" s="224"/>
      <c r="X26" s="114"/>
      <c r="Y26" s="203" t="b">
        <f>(IF(U26="Agricultural 1",X26*('Project Wide Estimates'!$Q$15*0.1),(IF('Individual Parcel Estimate'!U26="Agricultural 2",'Individual Parcel Estimate'!X26*('Project Wide Estimates'!$Q$16*0.1),(IF('Individual Parcel Estimate'!U26="Residential 1",'Individual Parcel Estimate'!X26*('Project Wide Estimates'!$Q$17*0.1),(IF('Individual Parcel Estimate'!U26="Residential 2",'Individual Parcel Estimate'!X26*('Project Wide Estimates'!$Q$18*0.1),(IF('Individual Parcel Estimate'!U26="Commercial 1",'Individual Parcel Estimate'!X26*('Project Wide Estimates'!$Q$19*0.1),(IF('Individual Parcel Estimate'!U26="Commercial 2",'Individual Parcel Estimate'!X26*('Project Wide Estimates'!$Q$20*0.1),(IF('Individual Parcel Estimate'!U26="Industrial 1",'Individual Parcel Estimate'!X26*('Project Wide Estimates'!$Q$21*0.1),(IF('Individual Parcel Estimate'!U26="Industrial 2",'Individual Parcel Estimate'!X26*('Project Wide Estimates'!$Q$22*0.1),(IF('Individual Parcel Estimate'!U26="Other 1",'Individual Parcel Estimate'!X26*('Project Wide Estimates'!$Q$23*0.1),(IF('Individual Parcel Estimate'!U26="Other 2",'Individual Parcel Estimate'!X26*('Project Wide Estimates'!$Q$24*0.1)))))))))))))))))))))</f>
        <v>0</v>
      </c>
      <c r="Z26" s="203" t="b">
        <f>(IF(U26="Agricultural 1",'Project Wide Estimates'!$Q$15*'Individual Parcel Estimate'!R26, (IF('Individual Parcel Estimate'!U26="Agricultural 2", 'Project Wide Estimates'!$Q$16*'Individual Parcel Estimate'!R26, (IF('Individual Parcel Estimate'!U26="Residential 1", 'Project Wide Estimates'!$Q$17*'Individual Parcel Estimate'!R26, (IF('Individual Parcel Estimate'!U26="Residential 2",'Project Wide Estimates'!$Q$18*'Individual Parcel Estimate'!R26, (IF('Individual Parcel Estimate'!U26="Commercial 1",'Project Wide Estimates'!$Q$19*'Individual Parcel Estimate'!R26, (IF('Individual Parcel Estimate'!U26="Commercial 2", 'Project Wide Estimates'!$Q$20*'Individual Parcel Estimate'!R26, (IF('Individual Parcel Estimate'!U26="Industrial 1", 'Project Wide Estimates'!$Q$21*'Individual Parcel Estimate'!R26, (IF('Individual Parcel Estimate'!U26="Industrial 2", 'Project Wide Estimates'!$Q$22*'Individual Parcel Estimate'!R26, (IF('Individual Parcel Estimate'!U26="Other 1", 'Project Wide Estimates'!$Q$23*'Individual Parcel Estimate'!R26, (IF('Individual Parcel Estimate'!U26="Other 2", 'Project Wide Estimates'!$Q$24*'Individual Parcel Estimate'!R26))))))))))))))))))))</f>
        <v>0</v>
      </c>
      <c r="AA26" s="222">
        <f t="shared" si="4"/>
        <v>0</v>
      </c>
      <c r="AB26" s="203" t="b">
        <f t="shared" si="0"/>
        <v>0</v>
      </c>
      <c r="AC26" s="217"/>
      <c r="AD26" s="217"/>
      <c r="AE26" s="219"/>
      <c r="AF26" s="217"/>
      <c r="AG26" s="217"/>
      <c r="AH26" s="217"/>
      <c r="AI26" s="217"/>
      <c r="AJ26" s="217"/>
      <c r="AK26" s="203">
        <f t="shared" si="1"/>
        <v>0</v>
      </c>
      <c r="AL26" s="203">
        <f t="shared" si="2"/>
        <v>0</v>
      </c>
      <c r="AM26" s="114"/>
      <c r="AN26" s="114"/>
      <c r="AO26" s="114"/>
      <c r="AP26" s="259">
        <f t="shared" si="5"/>
        <v>0</v>
      </c>
      <c r="AQ26" s="114"/>
    </row>
    <row r="27" spans="1:43">
      <c r="A27" s="114"/>
      <c r="B27" s="115"/>
      <c r="C27" s="116"/>
      <c r="D27" s="116"/>
      <c r="E27" s="116"/>
      <c r="F27" s="116"/>
      <c r="G27" s="203" t="b">
        <f>(IF(F27="Consultant", "enter manually", (IF(C27="W", 'Project Wide Estimates'!$H$12*'Project Wide Estimates'!$E$31, (IF(C27="N", ('Project Wide Estimates'!$H$13+'Project Wide Estimates'!$F$13)*'Project Wide Estimates'!$E$31, (IF('Individual Parcel Estimate'!C27="I", ('Project Wide Estimates'!$H$14+'Project Wide Estimates'!$F$14)*'Project Wide Estimates'!$E$31, (IF('Individual Parcel Estimate'!C27="II", ('Project Wide Estimates'!$H$15+'Project Wide Estimates'!$F$15)*'Project Wide Estimates'!$E$31, (IF('Individual Parcel Estimate'!C27="M", ('Project Wide Estimates'!$H$16+'Project Wide Estimates'!$F$16)*'Project Wide Estimates'!$E$31, (IF('Individual Parcel Estimate'!C27="MI", ('Project Wide Estimates'!$H$17+'Project Wide Estimates'!$F$17)*'Project Wide Estimates'!$E$31, (IF('Individual Parcel Estimate'!C27="C", ('Project Wide Estimates'!$H$18+'Project Wide Estimates'!$F$18)*'Project Wide Estimates'!$E$31, (IF('Individual Parcel Estimate'!C27="CI", ('Project Wide Estimates'!$H$19+'Project Wide Estimates'!$F$19)*'Project Wide Estimates'!$E$31))))))))))))))))))</f>
        <v>0</v>
      </c>
      <c r="H27" s="116"/>
      <c r="I27" s="203" t="b">
        <f>(IF(H27="Consultant","enter manually",(IF(C27="W",('Project Wide Estimates'!$G$12+'Project Wide Estimates'!$I$12+'Project Wide Estimates'!$F$12)*'Project Wide Estimates'!$E$31,(IF(C27="N",('Project Wide Estimates'!$G$13+'Project Wide Estimates'!$I$13)*'Project Wide Estimates'!$E$31,(IF('Individual Parcel Estimate'!C27="I",'Project Wide Estimates'!$I$14*'Project Wide Estimates'!$E$31,(IF('Individual Parcel Estimate'!C27="II",'Project Wide Estimates'!$I$15*'Project Wide Estimates'!$E$31,(IF('Individual Parcel Estimate'!C27="M",'Project Wide Estimates'!$I$16*'Project Wide Estimates'!$E$31,(IF('Individual Parcel Estimate'!C27="MI",'Project Wide Estimates'!$I$17*'Project Wide Estimates'!$E$31,(IF('Individual Parcel Estimate'!C27="C",'Project Wide Estimates'!$I$18*'Project Wide Estimates'!$E$31,(IF('Individual Parcel Estimate'!C27="CI",'Project Wide Estimates'!$I$19*'Project Wide Estimates'!$E$31))))))))))))))))))</f>
        <v>0</v>
      </c>
      <c r="J27" s="116"/>
      <c r="K27" s="203" t="b">
        <f>(IF(J27="Consultant","enter manually",(IF(C27="W","na",(IF(C27="N","na",(IF(C27="I","na",(IF(C27="II",'Project Wide Estimates'!$J$15*'Project Wide Estimates'!$E$31,(IF('Individual Parcel Estimate'!C27="M","na",(IF('Individual Parcel Estimate'!C27="MI",'Project Wide Estimates'!$J$17*'Project Wide Estimates'!$E$31,(IF('Individual Parcel Estimate'!C27="C","na",(IF('Individual Parcel Estimate'!C27="CI",'Project Wide Estimates'!$J$19*'Project Wide Estimates'!$E$31))))))))))))))))))</f>
        <v>0</v>
      </c>
      <c r="L27" s="116"/>
      <c r="M27" s="203" t="b">
        <f>(IF(L27="Consultant","enter manually",(IF(C27="W","na",(IF(C27="N","na",(IF(C27="I","na",(IF(C27="II",'Project Wide Estimates'!$K$15*'Project Wide Estimates'!$E$31,(IF('Individual Parcel Estimate'!C27="M","na",(IF('Individual Parcel Estimate'!C27="MI",'Project Wide Estimates'!$K$17*'Project Wide Estimates'!$E$31,(IF('Individual Parcel Estimate'!C27="C","na",(IF('Individual Parcel Estimate'!C27="CI",'Project Wide Estimates'!$K$19*'Project Wide Estimates'!$E$31))))))))))))))))))</f>
        <v>0</v>
      </c>
      <c r="N27" s="217"/>
      <c r="O27" s="217"/>
      <c r="P27" s="203" t="b">
        <f>(IF(C27="W",('Project Wide Estimates'!$D$12+'Project Wide Estimates'!$E$12)*'Project Wide Estimates'!$E$31,(IF(C27="N",('Project Wide Estimates'!$D$13+'Project Wide Estimates'!$E$13)*'Project Wide Estimates'!$E$31,(IF('Individual Parcel Estimate'!C27="I",('Project Wide Estimates'!$D$14+'Project Wide Estimates'!$E$14)*'Project Wide Estimates'!$E$31,(IF('Individual Parcel Estimate'!C27="II",('Project Wide Estimates'!$D$15+'Project Wide Estimates'!$E$15)*'Project Wide Estimates'!$E$31,(IF('Individual Parcel Estimate'!C27="M",('Project Wide Estimates'!$D$16+'Project Wide Estimates'!$E$16)*'Project Wide Estimates'!$E$31,(IF('Individual Parcel Estimate'!C27="MI",('Project Wide Estimates'!$D$17+'Project Wide Estimates'!$E$17)*'Project Wide Estimates'!$E$31,(IF('Individual Parcel Estimate'!C27="C",('Project Wide Estimates'!$D$18+'Project Wide Estimates'!$E$18)*'Project Wide Estimates'!$E$31,(IF('Individual Parcel Estimate'!C27="CI",('Project Wide Estimates'!$D$19+'Project Wide Estimates'!$E$19)*'Project Wide Estimates'!$E$31))))))))))))))))</f>
        <v>0</v>
      </c>
      <c r="Q27" s="318"/>
      <c r="R27" s="114"/>
      <c r="S27" s="203" t="b">
        <f>(IF(U27="Agricultural 1",R27*'Project Wide Estimates'!$Q$15,(IF('Individual Parcel Estimate'!U27="Agricultural 2",'Individual Parcel Estimate'!R27*'Project Wide Estimates'!$Q$16,(IF('Individual Parcel Estimate'!U27="Residential 1",'Individual Parcel Estimate'!R27*'Project Wide Estimates'!$Q$17,(IF('Individual Parcel Estimate'!U27="Residential 2",'Individual Parcel Estimate'!R27*'Project Wide Estimates'!$Q$18,(IF('Individual Parcel Estimate'!U27="Commercial 1",'Individual Parcel Estimate'!R27*'Project Wide Estimates'!$Q$19,(IF('Individual Parcel Estimate'!U27="Commercial 2",'Individual Parcel Estimate'!R27*'Project Wide Estimates'!$Q$20,(IF('Individual Parcel Estimate'!U27="Industrial 1",'Individual Parcel Estimate'!R27*'Project Wide Estimates'!$Q$21,(IF('Individual Parcel Estimate'!U27="Industrial 2",'Individual Parcel Estimate'!R27*'Project Wide Estimates'!$Q$22,(IF('Individual Parcel Estimate'!U27="Other 1",'Individual Parcel Estimate'!R27*'Project Wide Estimates'!$Q$23,(IF('Individual Parcel Estimate'!U27="Other 2",'Individual Parcel Estimate'!R27*'Project Wide Estimates'!$Q$24))))))))))))))))))))</f>
        <v>0</v>
      </c>
      <c r="T27" s="231"/>
      <c r="U27" s="116"/>
      <c r="V27" s="114"/>
      <c r="W27" s="224"/>
      <c r="X27" s="114"/>
      <c r="Y27" s="203" t="b">
        <f>(IF(U27="Agricultural 1",X27*('Project Wide Estimates'!$Q$15*0.1),(IF('Individual Parcel Estimate'!U27="Agricultural 2",'Individual Parcel Estimate'!X27*('Project Wide Estimates'!$Q$16*0.1),(IF('Individual Parcel Estimate'!U27="Residential 1",'Individual Parcel Estimate'!X27*('Project Wide Estimates'!$Q$17*0.1),(IF('Individual Parcel Estimate'!U27="Residential 2",'Individual Parcel Estimate'!X27*('Project Wide Estimates'!$Q$18*0.1),(IF('Individual Parcel Estimate'!U27="Commercial 1",'Individual Parcel Estimate'!X27*('Project Wide Estimates'!$Q$19*0.1),(IF('Individual Parcel Estimate'!U27="Commercial 2",'Individual Parcel Estimate'!X27*('Project Wide Estimates'!$Q$20*0.1),(IF('Individual Parcel Estimate'!U27="Industrial 1",'Individual Parcel Estimate'!X27*('Project Wide Estimates'!$Q$21*0.1),(IF('Individual Parcel Estimate'!U27="Industrial 2",'Individual Parcel Estimate'!X27*('Project Wide Estimates'!$Q$22*0.1),(IF('Individual Parcel Estimate'!U27="Other 1",'Individual Parcel Estimate'!X27*('Project Wide Estimates'!$Q$23*0.1),(IF('Individual Parcel Estimate'!U27="Other 2",'Individual Parcel Estimate'!X27*('Project Wide Estimates'!$Q$24*0.1)))))))))))))))))))))</f>
        <v>0</v>
      </c>
      <c r="Z27" s="203" t="b">
        <f>(IF(U27="Agricultural 1",'Project Wide Estimates'!$Q$15*'Individual Parcel Estimate'!R27, (IF('Individual Parcel Estimate'!U27="Agricultural 2", 'Project Wide Estimates'!$Q$16*'Individual Parcel Estimate'!R27, (IF('Individual Parcel Estimate'!U27="Residential 1", 'Project Wide Estimates'!$Q$17*'Individual Parcel Estimate'!R27, (IF('Individual Parcel Estimate'!U27="Residential 2",'Project Wide Estimates'!$Q$18*'Individual Parcel Estimate'!R27, (IF('Individual Parcel Estimate'!U27="Commercial 1",'Project Wide Estimates'!$Q$19*'Individual Parcel Estimate'!R27, (IF('Individual Parcel Estimate'!U27="Commercial 2", 'Project Wide Estimates'!$Q$20*'Individual Parcel Estimate'!R27, (IF('Individual Parcel Estimate'!U27="Industrial 1", 'Project Wide Estimates'!$Q$21*'Individual Parcel Estimate'!R27, (IF('Individual Parcel Estimate'!U27="Industrial 2", 'Project Wide Estimates'!$Q$22*'Individual Parcel Estimate'!R27, (IF('Individual Parcel Estimate'!U27="Other 1", 'Project Wide Estimates'!$Q$23*'Individual Parcel Estimate'!R27, (IF('Individual Parcel Estimate'!U27="Other 2", 'Project Wide Estimates'!$Q$24*'Individual Parcel Estimate'!R27))))))))))))))))))))</f>
        <v>0</v>
      </c>
      <c r="AA27" s="222">
        <f t="shared" si="4"/>
        <v>0</v>
      </c>
      <c r="AB27" s="203" t="b">
        <f t="shared" si="0"/>
        <v>0</v>
      </c>
      <c r="AC27" s="217"/>
      <c r="AD27" s="217"/>
      <c r="AE27" s="219"/>
      <c r="AF27" s="217"/>
      <c r="AG27" s="217"/>
      <c r="AH27" s="217"/>
      <c r="AI27" s="217"/>
      <c r="AJ27" s="217"/>
      <c r="AK27" s="203">
        <f t="shared" si="1"/>
        <v>0</v>
      </c>
      <c r="AL27" s="203">
        <f t="shared" si="2"/>
        <v>0</v>
      </c>
      <c r="AM27" s="114"/>
      <c r="AN27" s="114"/>
      <c r="AO27" s="114"/>
      <c r="AP27" s="259">
        <f t="shared" si="5"/>
        <v>0</v>
      </c>
      <c r="AQ27" s="114"/>
    </row>
    <row r="28" spans="1:43">
      <c r="A28" s="114"/>
      <c r="B28" s="115"/>
      <c r="C28" s="116"/>
      <c r="D28" s="116"/>
      <c r="E28" s="116"/>
      <c r="F28" s="116"/>
      <c r="G28" s="203" t="b">
        <f>(IF(F28="Consultant", "enter manually", (IF(C28="W", 'Project Wide Estimates'!$H$12*'Project Wide Estimates'!$E$31, (IF(C28="N", ('Project Wide Estimates'!$H$13+'Project Wide Estimates'!$F$13)*'Project Wide Estimates'!$E$31, (IF('Individual Parcel Estimate'!C28="I", ('Project Wide Estimates'!$H$14+'Project Wide Estimates'!$F$14)*'Project Wide Estimates'!$E$31, (IF('Individual Parcel Estimate'!C28="II", ('Project Wide Estimates'!$H$15+'Project Wide Estimates'!$F$15)*'Project Wide Estimates'!$E$31, (IF('Individual Parcel Estimate'!C28="M", ('Project Wide Estimates'!$H$16+'Project Wide Estimates'!$F$16)*'Project Wide Estimates'!$E$31, (IF('Individual Parcel Estimate'!C28="MI", ('Project Wide Estimates'!$H$17+'Project Wide Estimates'!$F$17)*'Project Wide Estimates'!$E$31, (IF('Individual Parcel Estimate'!C28="C", ('Project Wide Estimates'!$H$18+'Project Wide Estimates'!$F$18)*'Project Wide Estimates'!$E$31, (IF('Individual Parcel Estimate'!C28="CI", ('Project Wide Estimates'!$H$19+'Project Wide Estimates'!$F$19)*'Project Wide Estimates'!$E$31))))))))))))))))))</f>
        <v>0</v>
      </c>
      <c r="H28" s="116"/>
      <c r="I28" s="203" t="b">
        <f>(IF(H28="Consultant","enter manually",(IF(C28="W",('Project Wide Estimates'!$G$12+'Project Wide Estimates'!$I$12+'Project Wide Estimates'!$F$12)*'Project Wide Estimates'!$E$31,(IF(C28="N",('Project Wide Estimates'!$G$13+'Project Wide Estimates'!$I$13)*'Project Wide Estimates'!$E$31,(IF('Individual Parcel Estimate'!C28="I",'Project Wide Estimates'!$I$14*'Project Wide Estimates'!$E$31,(IF('Individual Parcel Estimate'!C28="II",'Project Wide Estimates'!$I$15*'Project Wide Estimates'!$E$31,(IF('Individual Parcel Estimate'!C28="M",'Project Wide Estimates'!$I$16*'Project Wide Estimates'!$E$31,(IF('Individual Parcel Estimate'!C28="MI",'Project Wide Estimates'!$I$17*'Project Wide Estimates'!$E$31,(IF('Individual Parcel Estimate'!C28="C",'Project Wide Estimates'!$I$18*'Project Wide Estimates'!$E$31,(IF('Individual Parcel Estimate'!C28="CI",'Project Wide Estimates'!$I$19*'Project Wide Estimates'!$E$31))))))))))))))))))</f>
        <v>0</v>
      </c>
      <c r="J28" s="116"/>
      <c r="K28" s="203" t="b">
        <f>(IF(J28="Consultant","enter manually",(IF(C28="W","na",(IF(C28="N","na",(IF(C28="I","na",(IF(C28="II",'Project Wide Estimates'!$J$15*'Project Wide Estimates'!$E$31,(IF('Individual Parcel Estimate'!C28="M","na",(IF('Individual Parcel Estimate'!C28="MI",'Project Wide Estimates'!$J$17*'Project Wide Estimates'!$E$31,(IF('Individual Parcel Estimate'!C28="C","na",(IF('Individual Parcel Estimate'!C28="CI",'Project Wide Estimates'!$J$19*'Project Wide Estimates'!$E$31))))))))))))))))))</f>
        <v>0</v>
      </c>
      <c r="L28" s="116"/>
      <c r="M28" s="203" t="b">
        <f>(IF(L28="Consultant","enter manually",(IF(C28="W","na",(IF(C28="N","na",(IF(C28="I","na",(IF(C28="II",'Project Wide Estimates'!$K$15*'Project Wide Estimates'!$E$31,(IF('Individual Parcel Estimate'!C28="M","na",(IF('Individual Parcel Estimate'!C28="MI",'Project Wide Estimates'!$K$17*'Project Wide Estimates'!$E$31,(IF('Individual Parcel Estimate'!C28="C","na",(IF('Individual Parcel Estimate'!C28="CI",'Project Wide Estimates'!$K$19*'Project Wide Estimates'!$E$31))))))))))))))))))</f>
        <v>0</v>
      </c>
      <c r="N28" s="218"/>
      <c r="O28" s="217"/>
      <c r="P28" s="203" t="b">
        <f>(IF(C28="W",('Project Wide Estimates'!$D$12+'Project Wide Estimates'!$E$12)*'Project Wide Estimates'!$E$31,(IF(C28="N",('Project Wide Estimates'!$D$13+'Project Wide Estimates'!$E$13)*'Project Wide Estimates'!$E$31,(IF('Individual Parcel Estimate'!C28="I",('Project Wide Estimates'!$D$14+'Project Wide Estimates'!$E$14)*'Project Wide Estimates'!$E$31,(IF('Individual Parcel Estimate'!C28="II",('Project Wide Estimates'!$D$15+'Project Wide Estimates'!$E$15)*'Project Wide Estimates'!$E$31,(IF('Individual Parcel Estimate'!C28="M",('Project Wide Estimates'!$D$16+'Project Wide Estimates'!$E$16)*'Project Wide Estimates'!$E$31,(IF('Individual Parcel Estimate'!C28="MI",('Project Wide Estimates'!$D$17+'Project Wide Estimates'!$E$17)*'Project Wide Estimates'!$E$31,(IF('Individual Parcel Estimate'!C28="C",('Project Wide Estimates'!$D$18+'Project Wide Estimates'!$E$18)*'Project Wide Estimates'!$E$31,(IF('Individual Parcel Estimate'!C28="CI",('Project Wide Estimates'!$D$19+'Project Wide Estimates'!$E$19)*'Project Wide Estimates'!$E$31))))))))))))))))</f>
        <v>0</v>
      </c>
      <c r="Q28" s="318"/>
      <c r="R28" s="116"/>
      <c r="S28" s="203" t="b">
        <f>(IF(U28="Agricultural 1",R28*'Project Wide Estimates'!$Q$15,(IF('Individual Parcel Estimate'!U28="Agricultural 2",'Individual Parcel Estimate'!R28*'Project Wide Estimates'!$Q$16,(IF('Individual Parcel Estimate'!U28="Residential 1",'Individual Parcel Estimate'!R28*'Project Wide Estimates'!$Q$17,(IF('Individual Parcel Estimate'!U28="Residential 2",'Individual Parcel Estimate'!R28*'Project Wide Estimates'!$Q$18,(IF('Individual Parcel Estimate'!U28="Commercial 1",'Individual Parcel Estimate'!R28*'Project Wide Estimates'!$Q$19,(IF('Individual Parcel Estimate'!U28="Commercial 2",'Individual Parcel Estimate'!R28*'Project Wide Estimates'!$Q$20,(IF('Individual Parcel Estimate'!U28="Industrial 1",'Individual Parcel Estimate'!R28*'Project Wide Estimates'!$Q$21,(IF('Individual Parcel Estimate'!U28="Industrial 2",'Individual Parcel Estimate'!R28*'Project Wide Estimates'!$Q$22,(IF('Individual Parcel Estimate'!U28="Other 1",'Individual Parcel Estimate'!R28*'Project Wide Estimates'!$Q$23,(IF('Individual Parcel Estimate'!U28="Other 2",'Individual Parcel Estimate'!R28*'Project Wide Estimates'!$Q$24))))))))))))))))))))</f>
        <v>0</v>
      </c>
      <c r="T28" s="231"/>
      <c r="U28" s="116"/>
      <c r="V28" s="116"/>
      <c r="W28" s="224"/>
      <c r="X28" s="116"/>
      <c r="Y28" s="203" t="b">
        <f>(IF(U28="Agricultural 1",X28*('Project Wide Estimates'!$Q$15*0.1),(IF('Individual Parcel Estimate'!U28="Agricultural 2",'Individual Parcel Estimate'!X28*('Project Wide Estimates'!$Q$16*0.1),(IF('Individual Parcel Estimate'!U28="Residential 1",'Individual Parcel Estimate'!X28*('Project Wide Estimates'!$Q$17*0.1),(IF('Individual Parcel Estimate'!U28="Residential 2",'Individual Parcel Estimate'!X28*('Project Wide Estimates'!$Q$18*0.1),(IF('Individual Parcel Estimate'!U28="Commercial 1",'Individual Parcel Estimate'!X28*('Project Wide Estimates'!$Q$19*0.1),(IF('Individual Parcel Estimate'!U28="Commercial 2",'Individual Parcel Estimate'!X28*('Project Wide Estimates'!$Q$20*0.1),(IF('Individual Parcel Estimate'!U28="Industrial 1",'Individual Parcel Estimate'!X28*('Project Wide Estimates'!$Q$21*0.1),(IF('Individual Parcel Estimate'!U28="Industrial 2",'Individual Parcel Estimate'!X28*('Project Wide Estimates'!$Q$22*0.1),(IF('Individual Parcel Estimate'!U28="Other 1",'Individual Parcel Estimate'!X28*('Project Wide Estimates'!$Q$23*0.1),(IF('Individual Parcel Estimate'!U28="Other 2",'Individual Parcel Estimate'!X28*('Project Wide Estimates'!$Q$24*0.1)))))))))))))))))))))</f>
        <v>0</v>
      </c>
      <c r="Z28" s="203" t="b">
        <f>(IF(U28="Agricultural 1",'Project Wide Estimates'!$Q$15*'Individual Parcel Estimate'!R28, (IF('Individual Parcel Estimate'!U28="Agricultural 2", 'Project Wide Estimates'!$Q$16*'Individual Parcel Estimate'!R28, (IF('Individual Parcel Estimate'!U28="Residential 1", 'Project Wide Estimates'!$Q$17*'Individual Parcel Estimate'!R28, (IF('Individual Parcel Estimate'!U28="Residential 2",'Project Wide Estimates'!$Q$18*'Individual Parcel Estimate'!R28, (IF('Individual Parcel Estimate'!U28="Commercial 1",'Project Wide Estimates'!$Q$19*'Individual Parcel Estimate'!R28, (IF('Individual Parcel Estimate'!U28="Commercial 2", 'Project Wide Estimates'!$Q$20*'Individual Parcel Estimate'!R28, (IF('Individual Parcel Estimate'!U28="Industrial 1", 'Project Wide Estimates'!$Q$21*'Individual Parcel Estimate'!R28, (IF('Individual Parcel Estimate'!U28="Industrial 2", 'Project Wide Estimates'!$Q$22*'Individual Parcel Estimate'!R28, (IF('Individual Parcel Estimate'!U28="Other 1", 'Project Wide Estimates'!$Q$23*'Individual Parcel Estimate'!R28, (IF('Individual Parcel Estimate'!U28="Other 2", 'Project Wide Estimates'!$Q$24*'Individual Parcel Estimate'!R28))))))))))))))))))))</f>
        <v>0</v>
      </c>
      <c r="AA28" s="222">
        <f t="shared" si="4"/>
        <v>0</v>
      </c>
      <c r="AB28" s="203" t="b">
        <f t="shared" si="0"/>
        <v>0</v>
      </c>
      <c r="AC28" s="218"/>
      <c r="AD28" s="218"/>
      <c r="AE28" s="219"/>
      <c r="AF28" s="217"/>
      <c r="AG28" s="217"/>
      <c r="AH28" s="217"/>
      <c r="AI28" s="217"/>
      <c r="AJ28" s="217"/>
      <c r="AK28" s="203">
        <f t="shared" si="1"/>
        <v>0</v>
      </c>
      <c r="AL28" s="203">
        <f t="shared" si="2"/>
        <v>0</v>
      </c>
      <c r="AM28" s="117"/>
      <c r="AN28" s="117"/>
      <c r="AO28" s="117"/>
      <c r="AP28" s="259">
        <f t="shared" si="5"/>
        <v>0</v>
      </c>
      <c r="AQ28" s="117"/>
    </row>
    <row r="29" spans="1:43">
      <c r="A29" s="114"/>
      <c r="B29" s="115"/>
      <c r="C29" s="116"/>
      <c r="D29" s="116"/>
      <c r="E29" s="116"/>
      <c r="F29" s="116"/>
      <c r="G29" s="203" t="b">
        <f>(IF(F29="Consultant", "enter manually", (IF(C29="W", 'Project Wide Estimates'!$H$12*'Project Wide Estimates'!$E$31, (IF(C29="N", ('Project Wide Estimates'!$H$13+'Project Wide Estimates'!$F$13)*'Project Wide Estimates'!$E$31, (IF('Individual Parcel Estimate'!C29="I", ('Project Wide Estimates'!$H$14+'Project Wide Estimates'!$F$14)*'Project Wide Estimates'!$E$31, (IF('Individual Parcel Estimate'!C29="II", ('Project Wide Estimates'!$H$15+'Project Wide Estimates'!$F$15)*'Project Wide Estimates'!$E$31, (IF('Individual Parcel Estimate'!C29="M", ('Project Wide Estimates'!$H$16+'Project Wide Estimates'!$F$16)*'Project Wide Estimates'!$E$31, (IF('Individual Parcel Estimate'!C29="MI", ('Project Wide Estimates'!$H$17+'Project Wide Estimates'!$F$17)*'Project Wide Estimates'!$E$31, (IF('Individual Parcel Estimate'!C29="C", ('Project Wide Estimates'!$H$18+'Project Wide Estimates'!$F$18)*'Project Wide Estimates'!$E$31, (IF('Individual Parcel Estimate'!C29="CI", ('Project Wide Estimates'!$H$19+'Project Wide Estimates'!$F$19)*'Project Wide Estimates'!$E$31))))))))))))))))))</f>
        <v>0</v>
      </c>
      <c r="H29" s="116"/>
      <c r="I29" s="203" t="b">
        <f>(IF(H29="Consultant","enter manually",(IF(C29="W",('Project Wide Estimates'!$G$12+'Project Wide Estimates'!$I$12+'Project Wide Estimates'!$F$12)*'Project Wide Estimates'!$E$31,(IF(C29="N",('Project Wide Estimates'!$G$13+'Project Wide Estimates'!$I$13)*'Project Wide Estimates'!$E$31,(IF('Individual Parcel Estimate'!C29="I",'Project Wide Estimates'!$I$14*'Project Wide Estimates'!$E$31,(IF('Individual Parcel Estimate'!C29="II",'Project Wide Estimates'!$I$15*'Project Wide Estimates'!$E$31,(IF('Individual Parcel Estimate'!C29="M",'Project Wide Estimates'!$I$16*'Project Wide Estimates'!$E$31,(IF('Individual Parcel Estimate'!C29="MI",'Project Wide Estimates'!$I$17*'Project Wide Estimates'!$E$31,(IF('Individual Parcel Estimate'!C29="C",'Project Wide Estimates'!$I$18*'Project Wide Estimates'!$E$31,(IF('Individual Parcel Estimate'!C29="CI",'Project Wide Estimates'!$I$19*'Project Wide Estimates'!$E$31))))))))))))))))))</f>
        <v>0</v>
      </c>
      <c r="J29" s="116"/>
      <c r="K29" s="203" t="b">
        <f>(IF(J29="Consultant","enter manually",(IF(C29="W","na",(IF(C29="N","na",(IF(C29="I","na",(IF(C29="II",'Project Wide Estimates'!$J$15*'Project Wide Estimates'!$E$31,(IF('Individual Parcel Estimate'!C29="M","na",(IF('Individual Parcel Estimate'!C29="MI",'Project Wide Estimates'!$J$17*'Project Wide Estimates'!$E$31,(IF('Individual Parcel Estimate'!C29="C","na",(IF('Individual Parcel Estimate'!C29="CI",'Project Wide Estimates'!$J$19*'Project Wide Estimates'!$E$31))))))))))))))))))</f>
        <v>0</v>
      </c>
      <c r="L29" s="116"/>
      <c r="M29" s="203" t="b">
        <f>(IF(L29="Consultant","enter manually",(IF(C29="W","na",(IF(C29="N","na",(IF(C29="I","na",(IF(C29="II",'Project Wide Estimates'!$K$15*'Project Wide Estimates'!$E$31,(IF('Individual Parcel Estimate'!C29="M","na",(IF('Individual Parcel Estimate'!C29="MI",'Project Wide Estimates'!$K$17*'Project Wide Estimates'!$E$31,(IF('Individual Parcel Estimate'!C29="C","na",(IF('Individual Parcel Estimate'!C29="CI",'Project Wide Estimates'!$K$19*'Project Wide Estimates'!$E$31))))))))))))))))))</f>
        <v>0</v>
      </c>
      <c r="N29" s="218"/>
      <c r="O29" s="217"/>
      <c r="P29" s="203" t="b">
        <f>(IF(C29="W",('Project Wide Estimates'!$D$12+'Project Wide Estimates'!$E$12)*'Project Wide Estimates'!$E$31,(IF(C29="N",('Project Wide Estimates'!$D$13+'Project Wide Estimates'!$E$13)*'Project Wide Estimates'!$E$31,(IF('Individual Parcel Estimate'!C29="I",('Project Wide Estimates'!$D$14+'Project Wide Estimates'!$E$14)*'Project Wide Estimates'!$E$31,(IF('Individual Parcel Estimate'!C29="II",('Project Wide Estimates'!$D$15+'Project Wide Estimates'!$E$15)*'Project Wide Estimates'!$E$31,(IF('Individual Parcel Estimate'!C29="M",('Project Wide Estimates'!$D$16+'Project Wide Estimates'!$E$16)*'Project Wide Estimates'!$E$31,(IF('Individual Parcel Estimate'!C29="MI",('Project Wide Estimates'!$D$17+'Project Wide Estimates'!$E$17)*'Project Wide Estimates'!$E$31,(IF('Individual Parcel Estimate'!C29="C",('Project Wide Estimates'!$D$18+'Project Wide Estimates'!$E$18)*'Project Wide Estimates'!$E$31,(IF('Individual Parcel Estimate'!C29="CI",('Project Wide Estimates'!$D$19+'Project Wide Estimates'!$E$19)*'Project Wide Estimates'!$E$31))))))))))))))))</f>
        <v>0</v>
      </c>
      <c r="Q29" s="318"/>
      <c r="R29" s="116"/>
      <c r="S29" s="203" t="b">
        <f>(IF(U29="Agricultural 1",R29*'Project Wide Estimates'!$Q$15,(IF('Individual Parcel Estimate'!U29="Agricultural 2",'Individual Parcel Estimate'!R29*'Project Wide Estimates'!$Q$16,(IF('Individual Parcel Estimate'!U29="Residential 1",'Individual Parcel Estimate'!R29*'Project Wide Estimates'!$Q$17,(IF('Individual Parcel Estimate'!U29="Residential 2",'Individual Parcel Estimate'!R29*'Project Wide Estimates'!$Q$18,(IF('Individual Parcel Estimate'!U29="Commercial 1",'Individual Parcel Estimate'!R29*'Project Wide Estimates'!$Q$19,(IF('Individual Parcel Estimate'!U29="Commercial 2",'Individual Parcel Estimate'!R29*'Project Wide Estimates'!$Q$20,(IF('Individual Parcel Estimate'!U29="Industrial 1",'Individual Parcel Estimate'!R29*'Project Wide Estimates'!$Q$21,(IF('Individual Parcel Estimate'!U29="Industrial 2",'Individual Parcel Estimate'!R29*'Project Wide Estimates'!$Q$22,(IF('Individual Parcel Estimate'!U29="Other 1",'Individual Parcel Estimate'!R29*'Project Wide Estimates'!$Q$23,(IF('Individual Parcel Estimate'!U29="Other 2",'Individual Parcel Estimate'!R29*'Project Wide Estimates'!$Q$24))))))))))))))))))))</f>
        <v>0</v>
      </c>
      <c r="T29" s="231"/>
      <c r="U29" s="116"/>
      <c r="V29" s="116"/>
      <c r="W29" s="224"/>
      <c r="X29" s="116"/>
      <c r="Y29" s="203" t="b">
        <f>(IF(U29="Agricultural 1",X29*('Project Wide Estimates'!$Q$15*0.1),(IF('Individual Parcel Estimate'!U29="Agricultural 2",'Individual Parcel Estimate'!X29*('Project Wide Estimates'!$Q$16*0.1),(IF('Individual Parcel Estimate'!U29="Residential 1",'Individual Parcel Estimate'!X29*('Project Wide Estimates'!$Q$17*0.1),(IF('Individual Parcel Estimate'!U29="Residential 2",'Individual Parcel Estimate'!X29*('Project Wide Estimates'!$Q$18*0.1),(IF('Individual Parcel Estimate'!U29="Commercial 1",'Individual Parcel Estimate'!X29*('Project Wide Estimates'!$Q$19*0.1),(IF('Individual Parcel Estimate'!U29="Commercial 2",'Individual Parcel Estimate'!X29*('Project Wide Estimates'!$Q$20*0.1),(IF('Individual Parcel Estimate'!U29="Industrial 1",'Individual Parcel Estimate'!X29*('Project Wide Estimates'!$Q$21*0.1),(IF('Individual Parcel Estimate'!U29="Industrial 2",'Individual Parcel Estimate'!X29*('Project Wide Estimates'!$Q$22*0.1),(IF('Individual Parcel Estimate'!U29="Other 1",'Individual Parcel Estimate'!X29*('Project Wide Estimates'!$Q$23*0.1),(IF('Individual Parcel Estimate'!U29="Other 2",'Individual Parcel Estimate'!X29*('Project Wide Estimates'!$Q$24*0.1)))))))))))))))))))))</f>
        <v>0</v>
      </c>
      <c r="Z29" s="203" t="b">
        <f>(IF(U29="Agricultural 1",'Project Wide Estimates'!$Q$15*'Individual Parcel Estimate'!R29, (IF('Individual Parcel Estimate'!U29="Agricultural 2", 'Project Wide Estimates'!$Q$16*'Individual Parcel Estimate'!R29, (IF('Individual Parcel Estimate'!U29="Residential 1", 'Project Wide Estimates'!$Q$17*'Individual Parcel Estimate'!R29, (IF('Individual Parcel Estimate'!U29="Residential 2",'Project Wide Estimates'!$Q$18*'Individual Parcel Estimate'!R29, (IF('Individual Parcel Estimate'!U29="Commercial 1",'Project Wide Estimates'!$Q$19*'Individual Parcel Estimate'!R29, (IF('Individual Parcel Estimate'!U29="Commercial 2", 'Project Wide Estimates'!$Q$20*'Individual Parcel Estimate'!R29, (IF('Individual Parcel Estimate'!U29="Industrial 1", 'Project Wide Estimates'!$Q$21*'Individual Parcel Estimate'!R29, (IF('Individual Parcel Estimate'!U29="Industrial 2", 'Project Wide Estimates'!$Q$22*'Individual Parcel Estimate'!R29, (IF('Individual Parcel Estimate'!U29="Other 1", 'Project Wide Estimates'!$Q$23*'Individual Parcel Estimate'!R29, (IF('Individual Parcel Estimate'!U29="Other 2", 'Project Wide Estimates'!$Q$24*'Individual Parcel Estimate'!R29))))))))))))))))))))</f>
        <v>0</v>
      </c>
      <c r="AA29" s="222">
        <f t="shared" si="4"/>
        <v>0</v>
      </c>
      <c r="AB29" s="203" t="b">
        <f t="shared" si="0"/>
        <v>0</v>
      </c>
      <c r="AC29" s="218"/>
      <c r="AD29" s="218"/>
      <c r="AE29" s="219"/>
      <c r="AF29" s="217"/>
      <c r="AG29" s="217"/>
      <c r="AH29" s="217"/>
      <c r="AI29" s="217"/>
      <c r="AJ29" s="217"/>
      <c r="AK29" s="203">
        <f t="shared" si="1"/>
        <v>0</v>
      </c>
      <c r="AL29" s="203">
        <f t="shared" si="2"/>
        <v>0</v>
      </c>
      <c r="AM29" s="117"/>
      <c r="AN29" s="117"/>
      <c r="AO29" s="117"/>
      <c r="AP29" s="259">
        <f t="shared" si="5"/>
        <v>0</v>
      </c>
      <c r="AQ29" s="117"/>
    </row>
    <row r="30" spans="1:43">
      <c r="A30" s="114"/>
      <c r="B30" s="115"/>
      <c r="C30" s="116"/>
      <c r="D30" s="116"/>
      <c r="E30" s="116"/>
      <c r="F30" s="116"/>
      <c r="G30" s="203" t="b">
        <f>(IF(F30="Consultant", "enter manually", (IF(C30="W", 'Project Wide Estimates'!$H$12*'Project Wide Estimates'!$E$31, (IF(C30="N", ('Project Wide Estimates'!$H$13+'Project Wide Estimates'!$F$13)*'Project Wide Estimates'!$E$31, (IF('Individual Parcel Estimate'!C30="I", ('Project Wide Estimates'!$H$14+'Project Wide Estimates'!$F$14)*'Project Wide Estimates'!$E$31, (IF('Individual Parcel Estimate'!C30="II", ('Project Wide Estimates'!$H$15+'Project Wide Estimates'!$F$15)*'Project Wide Estimates'!$E$31, (IF('Individual Parcel Estimate'!C30="M", ('Project Wide Estimates'!$H$16+'Project Wide Estimates'!$F$16)*'Project Wide Estimates'!$E$31, (IF('Individual Parcel Estimate'!C30="MI", ('Project Wide Estimates'!$H$17+'Project Wide Estimates'!$F$17)*'Project Wide Estimates'!$E$31, (IF('Individual Parcel Estimate'!C30="C", ('Project Wide Estimates'!$H$18+'Project Wide Estimates'!$F$18)*'Project Wide Estimates'!$E$31, (IF('Individual Parcel Estimate'!C30="CI", ('Project Wide Estimates'!$H$19+'Project Wide Estimates'!$F$19)*'Project Wide Estimates'!$E$31))))))))))))))))))</f>
        <v>0</v>
      </c>
      <c r="H30" s="116"/>
      <c r="I30" s="203" t="b">
        <f>(IF(H30="Consultant","enter manually",(IF(C30="W",('Project Wide Estimates'!$G$12+'Project Wide Estimates'!$I$12+'Project Wide Estimates'!$F$12)*'Project Wide Estimates'!$E$31,(IF(C30="N",('Project Wide Estimates'!$G$13+'Project Wide Estimates'!$I$13)*'Project Wide Estimates'!$E$31,(IF('Individual Parcel Estimate'!C30="I",'Project Wide Estimates'!$I$14*'Project Wide Estimates'!$E$31,(IF('Individual Parcel Estimate'!C30="II",'Project Wide Estimates'!$I$15*'Project Wide Estimates'!$E$31,(IF('Individual Parcel Estimate'!C30="M",'Project Wide Estimates'!$I$16*'Project Wide Estimates'!$E$31,(IF('Individual Parcel Estimate'!C30="MI",'Project Wide Estimates'!$I$17*'Project Wide Estimates'!$E$31,(IF('Individual Parcel Estimate'!C30="C",'Project Wide Estimates'!$I$18*'Project Wide Estimates'!$E$31,(IF('Individual Parcel Estimate'!C30="CI",'Project Wide Estimates'!$I$19*'Project Wide Estimates'!$E$31))))))))))))))))))</f>
        <v>0</v>
      </c>
      <c r="J30" s="116"/>
      <c r="K30" s="203" t="b">
        <f>(IF(J30="Consultant","enter manually",(IF(C30="W","na",(IF(C30="N","na",(IF(C30="I","na",(IF(C30="II",'Project Wide Estimates'!$J$15*'Project Wide Estimates'!$E$31,(IF('Individual Parcel Estimate'!C30="M","na",(IF('Individual Parcel Estimate'!C30="MI",'Project Wide Estimates'!$J$17*'Project Wide Estimates'!$E$31,(IF('Individual Parcel Estimate'!C30="C","na",(IF('Individual Parcel Estimate'!C30="CI",'Project Wide Estimates'!$J$19*'Project Wide Estimates'!$E$31))))))))))))))))))</f>
        <v>0</v>
      </c>
      <c r="L30" s="116"/>
      <c r="M30" s="203" t="b">
        <f>(IF(L30="Consultant","enter manually",(IF(C30="W","na",(IF(C30="N","na",(IF(C30="I","na",(IF(C30="II",'Project Wide Estimates'!$K$15*'Project Wide Estimates'!$E$31,(IF('Individual Parcel Estimate'!C30="M","na",(IF('Individual Parcel Estimate'!C30="MI",'Project Wide Estimates'!$K$17*'Project Wide Estimates'!$E$31,(IF('Individual Parcel Estimate'!C30="C","na",(IF('Individual Parcel Estimate'!C30="CI",'Project Wide Estimates'!$K$19*'Project Wide Estimates'!$E$31))))))))))))))))))</f>
        <v>0</v>
      </c>
      <c r="N30" s="218"/>
      <c r="O30" s="217"/>
      <c r="P30" s="203" t="b">
        <f>(IF(C30="W",('Project Wide Estimates'!$D$12+'Project Wide Estimates'!$E$12)*'Project Wide Estimates'!$E$31,(IF(C30="N",('Project Wide Estimates'!$D$13+'Project Wide Estimates'!$E$13)*'Project Wide Estimates'!$E$31,(IF('Individual Parcel Estimate'!C30="I",('Project Wide Estimates'!$D$14+'Project Wide Estimates'!$E$14)*'Project Wide Estimates'!$E$31,(IF('Individual Parcel Estimate'!C30="II",('Project Wide Estimates'!$D$15+'Project Wide Estimates'!$E$15)*'Project Wide Estimates'!$E$31,(IF('Individual Parcel Estimate'!C30="M",('Project Wide Estimates'!$D$16+'Project Wide Estimates'!$E$16)*'Project Wide Estimates'!$E$31,(IF('Individual Parcel Estimate'!C30="MI",('Project Wide Estimates'!$D$17+'Project Wide Estimates'!$E$17)*'Project Wide Estimates'!$E$31,(IF('Individual Parcel Estimate'!C30="C",('Project Wide Estimates'!$D$18+'Project Wide Estimates'!$E$18)*'Project Wide Estimates'!$E$31,(IF('Individual Parcel Estimate'!C30="CI",('Project Wide Estimates'!$D$19+'Project Wide Estimates'!$E$19)*'Project Wide Estimates'!$E$31))))))))))))))))</f>
        <v>0</v>
      </c>
      <c r="Q30" s="318"/>
      <c r="R30" s="116"/>
      <c r="S30" s="203" t="b">
        <f>(IF(U30="Agricultural 1",R30*'Project Wide Estimates'!$Q$15,(IF('Individual Parcel Estimate'!U30="Agricultural 2",'Individual Parcel Estimate'!R30*'Project Wide Estimates'!$Q$16,(IF('Individual Parcel Estimate'!U30="Residential 1",'Individual Parcel Estimate'!R30*'Project Wide Estimates'!$Q$17,(IF('Individual Parcel Estimate'!U30="Residential 2",'Individual Parcel Estimate'!R30*'Project Wide Estimates'!$Q$18,(IF('Individual Parcel Estimate'!U30="Commercial 1",'Individual Parcel Estimate'!R30*'Project Wide Estimates'!$Q$19,(IF('Individual Parcel Estimate'!U30="Commercial 2",'Individual Parcel Estimate'!R30*'Project Wide Estimates'!$Q$20,(IF('Individual Parcel Estimate'!U30="Industrial 1",'Individual Parcel Estimate'!R30*'Project Wide Estimates'!$Q$21,(IF('Individual Parcel Estimate'!U30="Industrial 2",'Individual Parcel Estimate'!R30*'Project Wide Estimates'!$Q$22,(IF('Individual Parcel Estimate'!U30="Other 1",'Individual Parcel Estimate'!R30*'Project Wide Estimates'!$Q$23,(IF('Individual Parcel Estimate'!U30="Other 2",'Individual Parcel Estimate'!R30*'Project Wide Estimates'!$Q$24))))))))))))))))))))</f>
        <v>0</v>
      </c>
      <c r="T30" s="231"/>
      <c r="U30" s="116"/>
      <c r="V30" s="116"/>
      <c r="W30" s="224"/>
      <c r="X30" s="116"/>
      <c r="Y30" s="203" t="b">
        <f>(IF(U30="Agricultural 1",X30*('Project Wide Estimates'!$Q$15*0.1),(IF('Individual Parcel Estimate'!U30="Agricultural 2",'Individual Parcel Estimate'!X30*('Project Wide Estimates'!$Q$16*0.1),(IF('Individual Parcel Estimate'!U30="Residential 1",'Individual Parcel Estimate'!X30*('Project Wide Estimates'!$Q$17*0.1),(IF('Individual Parcel Estimate'!U30="Residential 2",'Individual Parcel Estimate'!X30*('Project Wide Estimates'!$Q$18*0.1),(IF('Individual Parcel Estimate'!U30="Commercial 1",'Individual Parcel Estimate'!X30*('Project Wide Estimates'!$Q$19*0.1),(IF('Individual Parcel Estimate'!U30="Commercial 2",'Individual Parcel Estimate'!X30*('Project Wide Estimates'!$Q$20*0.1),(IF('Individual Parcel Estimate'!U30="Industrial 1",'Individual Parcel Estimate'!X30*('Project Wide Estimates'!$Q$21*0.1),(IF('Individual Parcel Estimate'!U30="Industrial 2",'Individual Parcel Estimate'!X30*('Project Wide Estimates'!$Q$22*0.1),(IF('Individual Parcel Estimate'!U30="Other 1",'Individual Parcel Estimate'!X30*('Project Wide Estimates'!$Q$23*0.1),(IF('Individual Parcel Estimate'!U30="Other 2",'Individual Parcel Estimate'!X30*('Project Wide Estimates'!$Q$24*0.1)))))))))))))))))))))</f>
        <v>0</v>
      </c>
      <c r="Z30" s="203" t="b">
        <f>(IF(U30="Agricultural 1",'Project Wide Estimates'!$Q$15*'Individual Parcel Estimate'!R30, (IF('Individual Parcel Estimate'!U30="Agricultural 2", 'Project Wide Estimates'!$Q$16*'Individual Parcel Estimate'!R30, (IF('Individual Parcel Estimate'!U30="Residential 1", 'Project Wide Estimates'!$Q$17*'Individual Parcel Estimate'!R30, (IF('Individual Parcel Estimate'!U30="Residential 2",'Project Wide Estimates'!$Q$18*'Individual Parcel Estimate'!R30, (IF('Individual Parcel Estimate'!U30="Commercial 1",'Project Wide Estimates'!$Q$19*'Individual Parcel Estimate'!R30, (IF('Individual Parcel Estimate'!U30="Commercial 2", 'Project Wide Estimates'!$Q$20*'Individual Parcel Estimate'!R30, (IF('Individual Parcel Estimate'!U30="Industrial 1", 'Project Wide Estimates'!$Q$21*'Individual Parcel Estimate'!R30, (IF('Individual Parcel Estimate'!U30="Industrial 2", 'Project Wide Estimates'!$Q$22*'Individual Parcel Estimate'!R30, (IF('Individual Parcel Estimate'!U30="Other 1", 'Project Wide Estimates'!$Q$23*'Individual Parcel Estimate'!R30, (IF('Individual Parcel Estimate'!U30="Other 2", 'Project Wide Estimates'!$Q$24*'Individual Parcel Estimate'!R30))))))))))))))))))))</f>
        <v>0</v>
      </c>
      <c r="AA30" s="222">
        <f t="shared" si="4"/>
        <v>0</v>
      </c>
      <c r="AB30" s="203" t="b">
        <f t="shared" si="0"/>
        <v>0</v>
      </c>
      <c r="AC30" s="218"/>
      <c r="AD30" s="218"/>
      <c r="AE30" s="219"/>
      <c r="AF30" s="217"/>
      <c r="AG30" s="217"/>
      <c r="AH30" s="217"/>
      <c r="AI30" s="217"/>
      <c r="AJ30" s="217"/>
      <c r="AK30" s="203">
        <f t="shared" si="1"/>
        <v>0</v>
      </c>
      <c r="AL30" s="203">
        <f t="shared" si="2"/>
        <v>0</v>
      </c>
      <c r="AM30" s="117"/>
      <c r="AN30" s="117"/>
      <c r="AO30" s="117"/>
      <c r="AP30" s="259">
        <f t="shared" si="5"/>
        <v>0</v>
      </c>
      <c r="AQ30" s="117"/>
    </row>
    <row r="31" spans="1:43">
      <c r="A31" s="114"/>
      <c r="B31" s="115"/>
      <c r="C31" s="116"/>
      <c r="D31" s="116"/>
      <c r="E31" s="116"/>
      <c r="F31" s="116"/>
      <c r="G31" s="203" t="b">
        <f>(IF(F31="Consultant", "enter manually", (IF(C31="W", 'Project Wide Estimates'!$H$12*'Project Wide Estimates'!$E$31, (IF(C31="N", ('Project Wide Estimates'!$H$13+'Project Wide Estimates'!$F$13)*'Project Wide Estimates'!$E$31, (IF('Individual Parcel Estimate'!C31="I", ('Project Wide Estimates'!$H$14+'Project Wide Estimates'!$F$14)*'Project Wide Estimates'!$E$31, (IF('Individual Parcel Estimate'!C31="II", ('Project Wide Estimates'!$H$15+'Project Wide Estimates'!$F$15)*'Project Wide Estimates'!$E$31, (IF('Individual Parcel Estimate'!C31="M", ('Project Wide Estimates'!$H$16+'Project Wide Estimates'!$F$16)*'Project Wide Estimates'!$E$31, (IF('Individual Parcel Estimate'!C31="MI", ('Project Wide Estimates'!$H$17+'Project Wide Estimates'!$F$17)*'Project Wide Estimates'!$E$31, (IF('Individual Parcel Estimate'!C31="C", ('Project Wide Estimates'!$H$18+'Project Wide Estimates'!$F$18)*'Project Wide Estimates'!$E$31, (IF('Individual Parcel Estimate'!C31="CI", ('Project Wide Estimates'!$H$19+'Project Wide Estimates'!$F$19)*'Project Wide Estimates'!$E$31))))))))))))))))))</f>
        <v>0</v>
      </c>
      <c r="H31" s="116"/>
      <c r="I31" s="203" t="b">
        <f>(IF(H31="Consultant","enter manually",(IF(C31="W",('Project Wide Estimates'!$G$12+'Project Wide Estimates'!$I$12+'Project Wide Estimates'!$F$12)*'Project Wide Estimates'!$E$31,(IF(C31="N",('Project Wide Estimates'!$G$13+'Project Wide Estimates'!$I$13)*'Project Wide Estimates'!$E$31,(IF('Individual Parcel Estimate'!C31="I",'Project Wide Estimates'!$I$14*'Project Wide Estimates'!$E$31,(IF('Individual Parcel Estimate'!C31="II",'Project Wide Estimates'!$I$15*'Project Wide Estimates'!$E$31,(IF('Individual Parcel Estimate'!C31="M",'Project Wide Estimates'!$I$16*'Project Wide Estimates'!$E$31,(IF('Individual Parcel Estimate'!C31="MI",'Project Wide Estimates'!$I$17*'Project Wide Estimates'!$E$31,(IF('Individual Parcel Estimate'!C31="C",'Project Wide Estimates'!$I$18*'Project Wide Estimates'!$E$31,(IF('Individual Parcel Estimate'!C31="CI",'Project Wide Estimates'!$I$19*'Project Wide Estimates'!$E$31))))))))))))))))))</f>
        <v>0</v>
      </c>
      <c r="J31" s="116"/>
      <c r="K31" s="203" t="b">
        <f>(IF(J31="Consultant","enter manually",(IF(C31="W","na",(IF(C31="N","na",(IF(C31="I","na",(IF(C31="II",'Project Wide Estimates'!$J$15*'Project Wide Estimates'!$E$31,(IF('Individual Parcel Estimate'!C31="M","na",(IF('Individual Parcel Estimate'!C31="MI",'Project Wide Estimates'!$J$17*'Project Wide Estimates'!$E$31,(IF('Individual Parcel Estimate'!C31="C","na",(IF('Individual Parcel Estimate'!C31="CI",'Project Wide Estimates'!$J$19*'Project Wide Estimates'!$E$31))))))))))))))))))</f>
        <v>0</v>
      </c>
      <c r="L31" s="116"/>
      <c r="M31" s="203" t="b">
        <f>(IF(L31="Consultant","enter manually",(IF(C31="W","na",(IF(C31="N","na",(IF(C31="I","na",(IF(C31="II",'Project Wide Estimates'!$K$15*'Project Wide Estimates'!$E$31,(IF('Individual Parcel Estimate'!C31="M","na",(IF('Individual Parcel Estimate'!C31="MI",'Project Wide Estimates'!$K$17*'Project Wide Estimates'!$E$31,(IF('Individual Parcel Estimate'!C31="C","na",(IF('Individual Parcel Estimate'!C31="CI",'Project Wide Estimates'!$K$19*'Project Wide Estimates'!$E$31))))))))))))))))))</f>
        <v>0</v>
      </c>
      <c r="N31" s="218"/>
      <c r="O31" s="217"/>
      <c r="P31" s="203" t="b">
        <f>(IF(C31="W",('Project Wide Estimates'!$D$12+'Project Wide Estimates'!$E$12)*'Project Wide Estimates'!$E$31,(IF(C31="N",('Project Wide Estimates'!$D$13+'Project Wide Estimates'!$E$13)*'Project Wide Estimates'!$E$31,(IF('Individual Parcel Estimate'!C31="I",('Project Wide Estimates'!$D$14+'Project Wide Estimates'!$E$14)*'Project Wide Estimates'!$E$31,(IF('Individual Parcel Estimate'!C31="II",('Project Wide Estimates'!$D$15+'Project Wide Estimates'!$E$15)*'Project Wide Estimates'!$E$31,(IF('Individual Parcel Estimate'!C31="M",('Project Wide Estimates'!$D$16+'Project Wide Estimates'!$E$16)*'Project Wide Estimates'!$E$31,(IF('Individual Parcel Estimate'!C31="MI",('Project Wide Estimates'!$D$17+'Project Wide Estimates'!$E$17)*'Project Wide Estimates'!$E$31,(IF('Individual Parcel Estimate'!C31="C",('Project Wide Estimates'!$D$18+'Project Wide Estimates'!$E$18)*'Project Wide Estimates'!$E$31,(IF('Individual Parcel Estimate'!C31="CI",('Project Wide Estimates'!$D$19+'Project Wide Estimates'!$E$19)*'Project Wide Estimates'!$E$31))))))))))))))))</f>
        <v>0</v>
      </c>
      <c r="Q31" s="318"/>
      <c r="R31" s="116"/>
      <c r="S31" s="203" t="b">
        <f>(IF(U31="Agricultural 1",R31*'Project Wide Estimates'!$Q$15,(IF('Individual Parcel Estimate'!U31="Agricultural 2",'Individual Parcel Estimate'!R31*'Project Wide Estimates'!$Q$16,(IF('Individual Parcel Estimate'!U31="Residential 1",'Individual Parcel Estimate'!R31*'Project Wide Estimates'!$Q$17,(IF('Individual Parcel Estimate'!U31="Residential 2",'Individual Parcel Estimate'!R31*'Project Wide Estimates'!$Q$18,(IF('Individual Parcel Estimate'!U31="Commercial 1",'Individual Parcel Estimate'!R31*'Project Wide Estimates'!$Q$19,(IF('Individual Parcel Estimate'!U31="Commercial 2",'Individual Parcel Estimate'!R31*'Project Wide Estimates'!$Q$20,(IF('Individual Parcel Estimate'!U31="Industrial 1",'Individual Parcel Estimate'!R31*'Project Wide Estimates'!$Q$21,(IF('Individual Parcel Estimate'!U31="Industrial 2",'Individual Parcel Estimate'!R31*'Project Wide Estimates'!$Q$22,(IF('Individual Parcel Estimate'!U31="Other 1",'Individual Parcel Estimate'!R31*'Project Wide Estimates'!$Q$23,(IF('Individual Parcel Estimate'!U31="Other 2",'Individual Parcel Estimate'!R31*'Project Wide Estimates'!$Q$24))))))))))))))))))))</f>
        <v>0</v>
      </c>
      <c r="T31" s="231"/>
      <c r="U31" s="116"/>
      <c r="V31" s="116"/>
      <c r="W31" s="224"/>
      <c r="X31" s="116"/>
      <c r="Y31" s="203" t="b">
        <f>(IF(U31="Agricultural 1",X31*('Project Wide Estimates'!$Q$15*0.1),(IF('Individual Parcel Estimate'!U31="Agricultural 2",'Individual Parcel Estimate'!X31*('Project Wide Estimates'!$Q$16*0.1),(IF('Individual Parcel Estimate'!U31="Residential 1",'Individual Parcel Estimate'!X31*('Project Wide Estimates'!$Q$17*0.1),(IF('Individual Parcel Estimate'!U31="Residential 2",'Individual Parcel Estimate'!X31*('Project Wide Estimates'!$Q$18*0.1),(IF('Individual Parcel Estimate'!U31="Commercial 1",'Individual Parcel Estimate'!X31*('Project Wide Estimates'!$Q$19*0.1),(IF('Individual Parcel Estimate'!U31="Commercial 2",'Individual Parcel Estimate'!X31*('Project Wide Estimates'!$Q$20*0.1),(IF('Individual Parcel Estimate'!U31="Industrial 1",'Individual Parcel Estimate'!X31*('Project Wide Estimates'!$Q$21*0.1),(IF('Individual Parcel Estimate'!U31="Industrial 2",'Individual Parcel Estimate'!X31*('Project Wide Estimates'!$Q$22*0.1),(IF('Individual Parcel Estimate'!U31="Other 1",'Individual Parcel Estimate'!X31*('Project Wide Estimates'!$Q$23*0.1),(IF('Individual Parcel Estimate'!U31="Other 2",'Individual Parcel Estimate'!X31*('Project Wide Estimates'!$Q$24*0.1)))))))))))))))))))))</f>
        <v>0</v>
      </c>
      <c r="Z31" s="203" t="b">
        <f>(IF(U31="Agricultural 1",'Project Wide Estimates'!$Q$15*'Individual Parcel Estimate'!R31, (IF('Individual Parcel Estimate'!U31="Agricultural 2", 'Project Wide Estimates'!$Q$16*'Individual Parcel Estimate'!R31, (IF('Individual Parcel Estimate'!U31="Residential 1", 'Project Wide Estimates'!$Q$17*'Individual Parcel Estimate'!R31, (IF('Individual Parcel Estimate'!U31="Residential 2",'Project Wide Estimates'!$Q$18*'Individual Parcel Estimate'!R31, (IF('Individual Parcel Estimate'!U31="Commercial 1",'Project Wide Estimates'!$Q$19*'Individual Parcel Estimate'!R31, (IF('Individual Parcel Estimate'!U31="Commercial 2", 'Project Wide Estimates'!$Q$20*'Individual Parcel Estimate'!R31, (IF('Individual Parcel Estimate'!U31="Industrial 1", 'Project Wide Estimates'!$Q$21*'Individual Parcel Estimate'!R31, (IF('Individual Parcel Estimate'!U31="Industrial 2", 'Project Wide Estimates'!$Q$22*'Individual Parcel Estimate'!R31, (IF('Individual Parcel Estimate'!U31="Other 1", 'Project Wide Estimates'!$Q$23*'Individual Parcel Estimate'!R31, (IF('Individual Parcel Estimate'!U31="Other 2", 'Project Wide Estimates'!$Q$24*'Individual Parcel Estimate'!R31))))))))))))))))))))</f>
        <v>0</v>
      </c>
      <c r="AA31" s="222">
        <f t="shared" si="4"/>
        <v>0</v>
      </c>
      <c r="AB31" s="203" t="b">
        <f t="shared" si="0"/>
        <v>0</v>
      </c>
      <c r="AC31" s="218"/>
      <c r="AD31" s="218"/>
      <c r="AE31" s="219"/>
      <c r="AF31" s="217"/>
      <c r="AG31" s="217"/>
      <c r="AH31" s="217"/>
      <c r="AI31" s="217"/>
      <c r="AJ31" s="217"/>
      <c r="AK31" s="203">
        <f t="shared" si="1"/>
        <v>0</v>
      </c>
      <c r="AL31" s="203">
        <f t="shared" si="2"/>
        <v>0</v>
      </c>
      <c r="AM31" s="117"/>
      <c r="AN31" s="117"/>
      <c r="AO31" s="117"/>
      <c r="AP31" s="259">
        <f t="shared" si="5"/>
        <v>0</v>
      </c>
      <c r="AQ31" s="117"/>
    </row>
    <row r="32" spans="1:43">
      <c r="A32" s="114"/>
      <c r="B32" s="115"/>
      <c r="C32" s="116"/>
      <c r="D32" s="116"/>
      <c r="E32" s="116"/>
      <c r="F32" s="116"/>
      <c r="G32" s="203" t="b">
        <f>(IF(F32="Consultant", "enter manually", (IF(C32="W", 'Project Wide Estimates'!$H$12*'Project Wide Estimates'!$E$31, (IF(C32="N", ('Project Wide Estimates'!$H$13+'Project Wide Estimates'!$F$13)*'Project Wide Estimates'!$E$31, (IF('Individual Parcel Estimate'!C32="I", ('Project Wide Estimates'!$H$14+'Project Wide Estimates'!$F$14)*'Project Wide Estimates'!$E$31, (IF('Individual Parcel Estimate'!C32="II", ('Project Wide Estimates'!$H$15+'Project Wide Estimates'!$F$15)*'Project Wide Estimates'!$E$31, (IF('Individual Parcel Estimate'!C32="M", ('Project Wide Estimates'!$H$16+'Project Wide Estimates'!$F$16)*'Project Wide Estimates'!$E$31, (IF('Individual Parcel Estimate'!C32="MI", ('Project Wide Estimates'!$H$17+'Project Wide Estimates'!$F$17)*'Project Wide Estimates'!$E$31, (IF('Individual Parcel Estimate'!C32="C", ('Project Wide Estimates'!$H$18+'Project Wide Estimates'!$F$18)*'Project Wide Estimates'!$E$31, (IF('Individual Parcel Estimate'!C32="CI", ('Project Wide Estimates'!$H$19+'Project Wide Estimates'!$F$19)*'Project Wide Estimates'!$E$31))))))))))))))))))</f>
        <v>0</v>
      </c>
      <c r="H32" s="116"/>
      <c r="I32" s="203" t="b">
        <f>(IF(H32="Consultant","enter manually",(IF(C32="W",('Project Wide Estimates'!$G$12+'Project Wide Estimates'!$I$12+'Project Wide Estimates'!$F$12)*'Project Wide Estimates'!$E$31,(IF(C32="N",('Project Wide Estimates'!$G$13+'Project Wide Estimates'!$I$13)*'Project Wide Estimates'!$E$31,(IF('Individual Parcel Estimate'!C32="I",'Project Wide Estimates'!$I$14*'Project Wide Estimates'!$E$31,(IF('Individual Parcel Estimate'!C32="II",'Project Wide Estimates'!$I$15*'Project Wide Estimates'!$E$31,(IF('Individual Parcel Estimate'!C32="M",'Project Wide Estimates'!$I$16*'Project Wide Estimates'!$E$31,(IF('Individual Parcel Estimate'!C32="MI",'Project Wide Estimates'!$I$17*'Project Wide Estimates'!$E$31,(IF('Individual Parcel Estimate'!C32="C",'Project Wide Estimates'!$I$18*'Project Wide Estimates'!$E$31,(IF('Individual Parcel Estimate'!C32="CI",'Project Wide Estimates'!$I$19*'Project Wide Estimates'!$E$31))))))))))))))))))</f>
        <v>0</v>
      </c>
      <c r="J32" s="116"/>
      <c r="K32" s="203" t="b">
        <f>(IF(J32="Consultant","enter manually",(IF(C32="W","na",(IF(C32="N","na",(IF(C32="I","na",(IF(C32="II",'Project Wide Estimates'!$J$15*'Project Wide Estimates'!$E$31,(IF('Individual Parcel Estimate'!C32="M","na",(IF('Individual Parcel Estimate'!C32="MI",'Project Wide Estimates'!$J$17*'Project Wide Estimates'!$E$31,(IF('Individual Parcel Estimate'!C32="C","na",(IF('Individual Parcel Estimate'!C32="CI",'Project Wide Estimates'!$J$19*'Project Wide Estimates'!$E$31))))))))))))))))))</f>
        <v>0</v>
      </c>
      <c r="L32" s="116"/>
      <c r="M32" s="203" t="b">
        <f>(IF(L32="Consultant","enter manually",(IF(C32="W","na",(IF(C32="N","na",(IF(C32="I","na",(IF(C32="II",'Project Wide Estimates'!$K$15*'Project Wide Estimates'!$E$31,(IF('Individual Parcel Estimate'!C32="M","na",(IF('Individual Parcel Estimate'!C32="MI",'Project Wide Estimates'!$K$17*'Project Wide Estimates'!$E$31,(IF('Individual Parcel Estimate'!C32="C","na",(IF('Individual Parcel Estimate'!C32="CI",'Project Wide Estimates'!$K$19*'Project Wide Estimates'!$E$31))))))))))))))))))</f>
        <v>0</v>
      </c>
      <c r="N32" s="218"/>
      <c r="O32" s="217"/>
      <c r="P32" s="203" t="b">
        <f>(IF(C32="W",('Project Wide Estimates'!$D$12+'Project Wide Estimates'!$E$12)*'Project Wide Estimates'!$E$31,(IF(C32="N",('Project Wide Estimates'!$D$13+'Project Wide Estimates'!$E$13)*'Project Wide Estimates'!$E$31,(IF('Individual Parcel Estimate'!C32="I",('Project Wide Estimates'!$D$14+'Project Wide Estimates'!$E$14)*'Project Wide Estimates'!$E$31,(IF('Individual Parcel Estimate'!C32="II",('Project Wide Estimates'!$D$15+'Project Wide Estimates'!$E$15)*'Project Wide Estimates'!$E$31,(IF('Individual Parcel Estimate'!C32="M",('Project Wide Estimates'!$D$16+'Project Wide Estimates'!$E$16)*'Project Wide Estimates'!$E$31,(IF('Individual Parcel Estimate'!C32="MI",('Project Wide Estimates'!$D$17+'Project Wide Estimates'!$E$17)*'Project Wide Estimates'!$E$31,(IF('Individual Parcel Estimate'!C32="C",('Project Wide Estimates'!$D$18+'Project Wide Estimates'!$E$18)*'Project Wide Estimates'!$E$31,(IF('Individual Parcel Estimate'!C32="CI",('Project Wide Estimates'!$D$19+'Project Wide Estimates'!$E$19)*'Project Wide Estimates'!$E$31))))))))))))))))</f>
        <v>0</v>
      </c>
      <c r="Q32" s="318"/>
      <c r="R32" s="116"/>
      <c r="S32" s="203" t="b">
        <f>(IF(U32="Agricultural 1",R32*'Project Wide Estimates'!$Q$15,(IF('Individual Parcel Estimate'!U32="Agricultural 2",'Individual Parcel Estimate'!R32*'Project Wide Estimates'!$Q$16,(IF('Individual Parcel Estimate'!U32="Residential 1",'Individual Parcel Estimate'!R32*'Project Wide Estimates'!$Q$17,(IF('Individual Parcel Estimate'!U32="Residential 2",'Individual Parcel Estimate'!R32*'Project Wide Estimates'!$Q$18,(IF('Individual Parcel Estimate'!U32="Commercial 1",'Individual Parcel Estimate'!R32*'Project Wide Estimates'!$Q$19,(IF('Individual Parcel Estimate'!U32="Commercial 2",'Individual Parcel Estimate'!R32*'Project Wide Estimates'!$Q$20,(IF('Individual Parcel Estimate'!U32="Industrial 1",'Individual Parcel Estimate'!R32*'Project Wide Estimates'!$Q$21,(IF('Individual Parcel Estimate'!U32="Industrial 2",'Individual Parcel Estimate'!R32*'Project Wide Estimates'!$Q$22,(IF('Individual Parcel Estimate'!U32="Other 1",'Individual Parcel Estimate'!R32*'Project Wide Estimates'!$Q$23,(IF('Individual Parcel Estimate'!U32="Other 2",'Individual Parcel Estimate'!R32*'Project Wide Estimates'!$Q$24))))))))))))))))))))</f>
        <v>0</v>
      </c>
      <c r="T32" s="231"/>
      <c r="U32" s="116"/>
      <c r="V32" s="116"/>
      <c r="W32" s="224"/>
      <c r="X32" s="116"/>
      <c r="Y32" s="203" t="b">
        <f>(IF(U32="Agricultural 1",X32*('Project Wide Estimates'!$Q$15*0.1),(IF('Individual Parcel Estimate'!U32="Agricultural 2",'Individual Parcel Estimate'!X32*('Project Wide Estimates'!$Q$16*0.1),(IF('Individual Parcel Estimate'!U32="Residential 1",'Individual Parcel Estimate'!X32*('Project Wide Estimates'!$Q$17*0.1),(IF('Individual Parcel Estimate'!U32="Residential 2",'Individual Parcel Estimate'!X32*('Project Wide Estimates'!$Q$18*0.1),(IF('Individual Parcel Estimate'!U32="Commercial 1",'Individual Parcel Estimate'!X32*('Project Wide Estimates'!$Q$19*0.1),(IF('Individual Parcel Estimate'!U32="Commercial 2",'Individual Parcel Estimate'!X32*('Project Wide Estimates'!$Q$20*0.1),(IF('Individual Parcel Estimate'!U32="Industrial 1",'Individual Parcel Estimate'!X32*('Project Wide Estimates'!$Q$21*0.1),(IF('Individual Parcel Estimate'!U32="Industrial 2",'Individual Parcel Estimate'!X32*('Project Wide Estimates'!$Q$22*0.1),(IF('Individual Parcel Estimate'!U32="Other 1",'Individual Parcel Estimate'!X32*('Project Wide Estimates'!$Q$23*0.1),(IF('Individual Parcel Estimate'!U32="Other 2",'Individual Parcel Estimate'!X32*('Project Wide Estimates'!$Q$24*0.1)))))))))))))))))))))</f>
        <v>0</v>
      </c>
      <c r="Z32" s="203" t="b">
        <f>(IF(U32="Agricultural 1",'Project Wide Estimates'!$Q$15*'Individual Parcel Estimate'!R32, (IF('Individual Parcel Estimate'!U32="Agricultural 2", 'Project Wide Estimates'!$Q$16*'Individual Parcel Estimate'!R32, (IF('Individual Parcel Estimate'!U32="Residential 1", 'Project Wide Estimates'!$Q$17*'Individual Parcel Estimate'!R32, (IF('Individual Parcel Estimate'!U32="Residential 2",'Project Wide Estimates'!$Q$18*'Individual Parcel Estimate'!R32, (IF('Individual Parcel Estimate'!U32="Commercial 1",'Project Wide Estimates'!$Q$19*'Individual Parcel Estimate'!R32, (IF('Individual Parcel Estimate'!U32="Commercial 2", 'Project Wide Estimates'!$Q$20*'Individual Parcel Estimate'!R32, (IF('Individual Parcel Estimate'!U32="Industrial 1", 'Project Wide Estimates'!$Q$21*'Individual Parcel Estimate'!R32, (IF('Individual Parcel Estimate'!U32="Industrial 2", 'Project Wide Estimates'!$Q$22*'Individual Parcel Estimate'!R32, (IF('Individual Parcel Estimate'!U32="Other 1", 'Project Wide Estimates'!$Q$23*'Individual Parcel Estimate'!R32, (IF('Individual Parcel Estimate'!U32="Other 2", 'Project Wide Estimates'!$Q$24*'Individual Parcel Estimate'!R32))))))))))))))))))))</f>
        <v>0</v>
      </c>
      <c r="AA32" s="222">
        <f t="shared" si="4"/>
        <v>0</v>
      </c>
      <c r="AB32" s="203" t="b">
        <f t="shared" si="0"/>
        <v>0</v>
      </c>
      <c r="AC32" s="218"/>
      <c r="AD32" s="218"/>
      <c r="AE32" s="219"/>
      <c r="AF32" s="217"/>
      <c r="AG32" s="217"/>
      <c r="AH32" s="217"/>
      <c r="AI32" s="217"/>
      <c r="AJ32" s="217"/>
      <c r="AK32" s="203">
        <f t="shared" si="1"/>
        <v>0</v>
      </c>
      <c r="AL32" s="203">
        <f t="shared" si="2"/>
        <v>0</v>
      </c>
      <c r="AM32" s="117"/>
      <c r="AN32" s="117"/>
      <c r="AO32" s="117"/>
      <c r="AP32" s="259">
        <f t="shared" si="5"/>
        <v>0</v>
      </c>
      <c r="AQ32" s="117"/>
    </row>
    <row r="33" spans="1:43">
      <c r="A33" s="114"/>
      <c r="B33" s="115"/>
      <c r="C33" s="116"/>
      <c r="D33" s="116"/>
      <c r="E33" s="116"/>
      <c r="F33" s="116"/>
      <c r="G33" s="203" t="b">
        <f>(IF(F33="Consultant", "enter manually", (IF(C33="W", 'Project Wide Estimates'!$H$12*'Project Wide Estimates'!$E$31, (IF(C33="N", ('Project Wide Estimates'!$H$13+'Project Wide Estimates'!$F$13)*'Project Wide Estimates'!$E$31, (IF('Individual Parcel Estimate'!C33="I", ('Project Wide Estimates'!$H$14+'Project Wide Estimates'!$F$14)*'Project Wide Estimates'!$E$31, (IF('Individual Parcel Estimate'!C33="II", ('Project Wide Estimates'!$H$15+'Project Wide Estimates'!$F$15)*'Project Wide Estimates'!$E$31, (IF('Individual Parcel Estimate'!C33="M", ('Project Wide Estimates'!$H$16+'Project Wide Estimates'!$F$16)*'Project Wide Estimates'!$E$31, (IF('Individual Parcel Estimate'!C33="MI", ('Project Wide Estimates'!$H$17+'Project Wide Estimates'!$F$17)*'Project Wide Estimates'!$E$31, (IF('Individual Parcel Estimate'!C33="C", ('Project Wide Estimates'!$H$18+'Project Wide Estimates'!$F$18)*'Project Wide Estimates'!$E$31, (IF('Individual Parcel Estimate'!C33="CI", ('Project Wide Estimates'!$H$19+'Project Wide Estimates'!$F$19)*'Project Wide Estimates'!$E$31))))))))))))))))))</f>
        <v>0</v>
      </c>
      <c r="H33" s="116"/>
      <c r="I33" s="203" t="b">
        <f>(IF(H33="Consultant","enter manually",(IF(C33="W",('Project Wide Estimates'!$G$12+'Project Wide Estimates'!$I$12+'Project Wide Estimates'!$F$12)*'Project Wide Estimates'!$E$31,(IF(C33="N",('Project Wide Estimates'!$G$13+'Project Wide Estimates'!$I$13)*'Project Wide Estimates'!$E$31,(IF('Individual Parcel Estimate'!C33="I",'Project Wide Estimates'!$I$14*'Project Wide Estimates'!$E$31,(IF('Individual Parcel Estimate'!C33="II",'Project Wide Estimates'!$I$15*'Project Wide Estimates'!$E$31,(IF('Individual Parcel Estimate'!C33="M",'Project Wide Estimates'!$I$16*'Project Wide Estimates'!$E$31,(IF('Individual Parcel Estimate'!C33="MI",'Project Wide Estimates'!$I$17*'Project Wide Estimates'!$E$31,(IF('Individual Parcel Estimate'!C33="C",'Project Wide Estimates'!$I$18*'Project Wide Estimates'!$E$31,(IF('Individual Parcel Estimate'!C33="CI",'Project Wide Estimates'!$I$19*'Project Wide Estimates'!$E$31))))))))))))))))))</f>
        <v>0</v>
      </c>
      <c r="J33" s="116"/>
      <c r="K33" s="203" t="b">
        <f>(IF(J33="Consultant","enter manually",(IF(C33="W","na",(IF(C33="N","na",(IF(C33="I","na",(IF(C33="II",'Project Wide Estimates'!$J$15*'Project Wide Estimates'!$E$31,(IF('Individual Parcel Estimate'!C33="M","na",(IF('Individual Parcel Estimate'!C33="MI",'Project Wide Estimates'!$J$17*'Project Wide Estimates'!$E$31,(IF('Individual Parcel Estimate'!C33="C","na",(IF('Individual Parcel Estimate'!C33="CI",'Project Wide Estimates'!$J$19*'Project Wide Estimates'!$E$31))))))))))))))))))</f>
        <v>0</v>
      </c>
      <c r="L33" s="116"/>
      <c r="M33" s="203" t="b">
        <f>(IF(L33="Consultant","enter manually",(IF(C33="W","na",(IF(C33="N","na",(IF(C33="I","na",(IF(C33="II",'Project Wide Estimates'!$K$15*'Project Wide Estimates'!$E$31,(IF('Individual Parcel Estimate'!C33="M","na",(IF('Individual Parcel Estimate'!C33="MI",'Project Wide Estimates'!$K$17*'Project Wide Estimates'!$E$31,(IF('Individual Parcel Estimate'!C33="C","na",(IF('Individual Parcel Estimate'!C33="CI",'Project Wide Estimates'!$K$19*'Project Wide Estimates'!$E$31))))))))))))))))))</f>
        <v>0</v>
      </c>
      <c r="N33" s="218"/>
      <c r="O33" s="217"/>
      <c r="P33" s="203" t="b">
        <f>(IF(C33="W",('Project Wide Estimates'!$D$12+'Project Wide Estimates'!$E$12)*'Project Wide Estimates'!$E$31,(IF(C33="N",('Project Wide Estimates'!$D$13+'Project Wide Estimates'!$E$13)*'Project Wide Estimates'!$E$31,(IF('Individual Parcel Estimate'!C33="I",('Project Wide Estimates'!$D$14+'Project Wide Estimates'!$E$14)*'Project Wide Estimates'!$E$31,(IF('Individual Parcel Estimate'!C33="II",('Project Wide Estimates'!$D$15+'Project Wide Estimates'!$E$15)*'Project Wide Estimates'!$E$31,(IF('Individual Parcel Estimate'!C33="M",('Project Wide Estimates'!$D$16+'Project Wide Estimates'!$E$16)*'Project Wide Estimates'!$E$31,(IF('Individual Parcel Estimate'!C33="MI",('Project Wide Estimates'!$D$17+'Project Wide Estimates'!$E$17)*'Project Wide Estimates'!$E$31,(IF('Individual Parcel Estimate'!C33="C",('Project Wide Estimates'!$D$18+'Project Wide Estimates'!$E$18)*'Project Wide Estimates'!$E$31,(IF('Individual Parcel Estimate'!C33="CI",('Project Wide Estimates'!$D$19+'Project Wide Estimates'!$E$19)*'Project Wide Estimates'!$E$31))))))))))))))))</f>
        <v>0</v>
      </c>
      <c r="Q33" s="318"/>
      <c r="R33" s="116"/>
      <c r="S33" s="203" t="b">
        <f>(IF(U33="Agricultural 1",R33*'Project Wide Estimates'!$Q$15,(IF('Individual Parcel Estimate'!U33="Agricultural 2",'Individual Parcel Estimate'!R33*'Project Wide Estimates'!$Q$16,(IF('Individual Parcel Estimate'!U33="Residential 1",'Individual Parcel Estimate'!R33*'Project Wide Estimates'!$Q$17,(IF('Individual Parcel Estimate'!U33="Residential 2",'Individual Parcel Estimate'!R33*'Project Wide Estimates'!$Q$18,(IF('Individual Parcel Estimate'!U33="Commercial 1",'Individual Parcel Estimate'!R33*'Project Wide Estimates'!$Q$19,(IF('Individual Parcel Estimate'!U33="Commercial 2",'Individual Parcel Estimate'!R33*'Project Wide Estimates'!$Q$20,(IF('Individual Parcel Estimate'!U33="Industrial 1",'Individual Parcel Estimate'!R33*'Project Wide Estimates'!$Q$21,(IF('Individual Parcel Estimate'!U33="Industrial 2",'Individual Parcel Estimate'!R33*'Project Wide Estimates'!$Q$22,(IF('Individual Parcel Estimate'!U33="Other 1",'Individual Parcel Estimate'!R33*'Project Wide Estimates'!$Q$23,(IF('Individual Parcel Estimate'!U33="Other 2",'Individual Parcel Estimate'!R33*'Project Wide Estimates'!$Q$24))))))))))))))))))))</f>
        <v>0</v>
      </c>
      <c r="T33" s="231"/>
      <c r="U33" s="116"/>
      <c r="V33" s="116"/>
      <c r="W33" s="224"/>
      <c r="X33" s="116"/>
      <c r="Y33" s="203" t="b">
        <f>(IF(U33="Agricultural 1",X33*('Project Wide Estimates'!$Q$15*0.1),(IF('Individual Parcel Estimate'!U33="Agricultural 2",'Individual Parcel Estimate'!X33*('Project Wide Estimates'!$Q$16*0.1),(IF('Individual Parcel Estimate'!U33="Residential 1",'Individual Parcel Estimate'!X33*('Project Wide Estimates'!$Q$17*0.1),(IF('Individual Parcel Estimate'!U33="Residential 2",'Individual Parcel Estimate'!X33*('Project Wide Estimates'!$Q$18*0.1),(IF('Individual Parcel Estimate'!U33="Commercial 1",'Individual Parcel Estimate'!X33*('Project Wide Estimates'!$Q$19*0.1),(IF('Individual Parcel Estimate'!U33="Commercial 2",'Individual Parcel Estimate'!X33*('Project Wide Estimates'!$Q$20*0.1),(IF('Individual Parcel Estimate'!U33="Industrial 1",'Individual Parcel Estimate'!X33*('Project Wide Estimates'!$Q$21*0.1),(IF('Individual Parcel Estimate'!U33="Industrial 2",'Individual Parcel Estimate'!X33*('Project Wide Estimates'!$Q$22*0.1),(IF('Individual Parcel Estimate'!U33="Other 1",'Individual Parcel Estimate'!X33*('Project Wide Estimates'!$Q$23*0.1),(IF('Individual Parcel Estimate'!U33="Other 2",'Individual Parcel Estimate'!X33*('Project Wide Estimates'!$Q$24*0.1)))))))))))))))))))))</f>
        <v>0</v>
      </c>
      <c r="Z33" s="203" t="b">
        <f>(IF(U33="Agricultural 1",'Project Wide Estimates'!$Q$15*'Individual Parcel Estimate'!R33, (IF('Individual Parcel Estimate'!U33="Agricultural 2", 'Project Wide Estimates'!$Q$16*'Individual Parcel Estimate'!R33, (IF('Individual Parcel Estimate'!U33="Residential 1", 'Project Wide Estimates'!$Q$17*'Individual Parcel Estimate'!R33, (IF('Individual Parcel Estimate'!U33="Residential 2",'Project Wide Estimates'!$Q$18*'Individual Parcel Estimate'!R33, (IF('Individual Parcel Estimate'!U33="Commercial 1",'Project Wide Estimates'!$Q$19*'Individual Parcel Estimate'!R33, (IF('Individual Parcel Estimate'!U33="Commercial 2", 'Project Wide Estimates'!$Q$20*'Individual Parcel Estimate'!R33, (IF('Individual Parcel Estimate'!U33="Industrial 1", 'Project Wide Estimates'!$Q$21*'Individual Parcel Estimate'!R33, (IF('Individual Parcel Estimate'!U33="Industrial 2", 'Project Wide Estimates'!$Q$22*'Individual Parcel Estimate'!R33, (IF('Individual Parcel Estimate'!U33="Other 1", 'Project Wide Estimates'!$Q$23*'Individual Parcel Estimate'!R33, (IF('Individual Parcel Estimate'!U33="Other 2", 'Project Wide Estimates'!$Q$24*'Individual Parcel Estimate'!R33))))))))))))))))))))</f>
        <v>0</v>
      </c>
      <c r="AA33" s="222">
        <f t="shared" si="4"/>
        <v>0</v>
      </c>
      <c r="AB33" s="203" t="b">
        <f t="shared" si="0"/>
        <v>0</v>
      </c>
      <c r="AC33" s="218"/>
      <c r="AD33" s="218"/>
      <c r="AE33" s="219"/>
      <c r="AF33" s="217"/>
      <c r="AG33" s="217"/>
      <c r="AH33" s="217"/>
      <c r="AI33" s="217"/>
      <c r="AJ33" s="217"/>
      <c r="AK33" s="203">
        <f t="shared" si="1"/>
        <v>0</v>
      </c>
      <c r="AL33" s="203">
        <f t="shared" si="2"/>
        <v>0</v>
      </c>
      <c r="AM33" s="117"/>
      <c r="AN33" s="117"/>
      <c r="AO33" s="117"/>
      <c r="AP33" s="259">
        <f t="shared" si="5"/>
        <v>0</v>
      </c>
      <c r="AQ33" s="117"/>
    </row>
    <row r="34" spans="1:43">
      <c r="A34" s="114"/>
      <c r="B34" s="115"/>
      <c r="C34" s="116"/>
      <c r="D34" s="116"/>
      <c r="E34" s="116"/>
      <c r="F34" s="116"/>
      <c r="G34" s="203" t="b">
        <f>(IF(F34="Consultant", "enter manually", (IF(C34="W", 'Project Wide Estimates'!$H$12*'Project Wide Estimates'!$E$31, (IF(C34="N", ('Project Wide Estimates'!$H$13+'Project Wide Estimates'!$F$13)*'Project Wide Estimates'!$E$31, (IF('Individual Parcel Estimate'!C34="I", ('Project Wide Estimates'!$H$14+'Project Wide Estimates'!$F$14)*'Project Wide Estimates'!$E$31, (IF('Individual Parcel Estimate'!C34="II", ('Project Wide Estimates'!$H$15+'Project Wide Estimates'!$F$15)*'Project Wide Estimates'!$E$31, (IF('Individual Parcel Estimate'!C34="M", ('Project Wide Estimates'!$H$16+'Project Wide Estimates'!$F$16)*'Project Wide Estimates'!$E$31, (IF('Individual Parcel Estimate'!C34="MI", ('Project Wide Estimates'!$H$17+'Project Wide Estimates'!$F$17)*'Project Wide Estimates'!$E$31, (IF('Individual Parcel Estimate'!C34="C", ('Project Wide Estimates'!$H$18+'Project Wide Estimates'!$F$18)*'Project Wide Estimates'!$E$31, (IF('Individual Parcel Estimate'!C34="CI", ('Project Wide Estimates'!$H$19+'Project Wide Estimates'!$F$19)*'Project Wide Estimates'!$E$31))))))))))))))))))</f>
        <v>0</v>
      </c>
      <c r="H34" s="116"/>
      <c r="I34" s="203" t="b">
        <f>(IF(H34="Consultant","enter manually",(IF(C34="W",('Project Wide Estimates'!$G$12+'Project Wide Estimates'!$I$12+'Project Wide Estimates'!$F$12)*'Project Wide Estimates'!$E$31,(IF(C34="N",('Project Wide Estimates'!$G$13+'Project Wide Estimates'!$I$13)*'Project Wide Estimates'!$E$31,(IF('Individual Parcel Estimate'!C34="I",'Project Wide Estimates'!$I$14*'Project Wide Estimates'!$E$31,(IF('Individual Parcel Estimate'!C34="II",'Project Wide Estimates'!$I$15*'Project Wide Estimates'!$E$31,(IF('Individual Parcel Estimate'!C34="M",'Project Wide Estimates'!$I$16*'Project Wide Estimates'!$E$31,(IF('Individual Parcel Estimate'!C34="MI",'Project Wide Estimates'!$I$17*'Project Wide Estimates'!$E$31,(IF('Individual Parcel Estimate'!C34="C",'Project Wide Estimates'!$I$18*'Project Wide Estimates'!$E$31,(IF('Individual Parcel Estimate'!C34="CI",'Project Wide Estimates'!$I$19*'Project Wide Estimates'!$E$31))))))))))))))))))</f>
        <v>0</v>
      </c>
      <c r="J34" s="116"/>
      <c r="K34" s="203" t="b">
        <f>(IF(J34="Consultant","enter manually",(IF(C34="W","na",(IF(C34="N","na",(IF(C34="I","na",(IF(C34="II",'Project Wide Estimates'!$J$15*'Project Wide Estimates'!$E$31,(IF('Individual Parcel Estimate'!C34="M","na",(IF('Individual Parcel Estimate'!C34="MI",'Project Wide Estimates'!$J$17*'Project Wide Estimates'!$E$31,(IF('Individual Parcel Estimate'!C34="C","na",(IF('Individual Parcel Estimate'!C34="CI",'Project Wide Estimates'!$J$19*'Project Wide Estimates'!$E$31))))))))))))))))))</f>
        <v>0</v>
      </c>
      <c r="L34" s="116"/>
      <c r="M34" s="203" t="b">
        <f>(IF(L34="Consultant","enter manually",(IF(C34="W","na",(IF(C34="N","na",(IF(C34="I","na",(IF(C34="II",'Project Wide Estimates'!$K$15*'Project Wide Estimates'!$E$31,(IF('Individual Parcel Estimate'!C34="M","na",(IF('Individual Parcel Estimate'!C34="MI",'Project Wide Estimates'!$K$17*'Project Wide Estimates'!$E$31,(IF('Individual Parcel Estimate'!C34="C","na",(IF('Individual Parcel Estimate'!C34="CI",'Project Wide Estimates'!$K$19*'Project Wide Estimates'!$E$31))))))))))))))))))</f>
        <v>0</v>
      </c>
      <c r="N34" s="218"/>
      <c r="O34" s="217"/>
      <c r="P34" s="203" t="b">
        <f>(IF(C34="W",('Project Wide Estimates'!$D$12+'Project Wide Estimates'!$E$12)*'Project Wide Estimates'!$E$31,(IF(C34="N",('Project Wide Estimates'!$D$13+'Project Wide Estimates'!$E$13)*'Project Wide Estimates'!$E$31,(IF('Individual Parcel Estimate'!C34="I",('Project Wide Estimates'!$D$14+'Project Wide Estimates'!$E$14)*'Project Wide Estimates'!$E$31,(IF('Individual Parcel Estimate'!C34="II",('Project Wide Estimates'!$D$15+'Project Wide Estimates'!$E$15)*'Project Wide Estimates'!$E$31,(IF('Individual Parcel Estimate'!C34="M",('Project Wide Estimates'!$D$16+'Project Wide Estimates'!$E$16)*'Project Wide Estimates'!$E$31,(IF('Individual Parcel Estimate'!C34="MI",('Project Wide Estimates'!$D$17+'Project Wide Estimates'!$E$17)*'Project Wide Estimates'!$E$31,(IF('Individual Parcel Estimate'!C34="C",('Project Wide Estimates'!$D$18+'Project Wide Estimates'!$E$18)*'Project Wide Estimates'!$E$31,(IF('Individual Parcel Estimate'!C34="CI",('Project Wide Estimates'!$D$19+'Project Wide Estimates'!$E$19)*'Project Wide Estimates'!$E$31))))))))))))))))</f>
        <v>0</v>
      </c>
      <c r="Q34" s="318"/>
      <c r="R34" s="116"/>
      <c r="S34" s="203" t="b">
        <f>(IF(U34="Agricultural 1",R34*'Project Wide Estimates'!$Q$15,(IF('Individual Parcel Estimate'!U34="Agricultural 2",'Individual Parcel Estimate'!R34*'Project Wide Estimates'!$Q$16,(IF('Individual Parcel Estimate'!U34="Residential 1",'Individual Parcel Estimate'!R34*'Project Wide Estimates'!$Q$17,(IF('Individual Parcel Estimate'!U34="Residential 2",'Individual Parcel Estimate'!R34*'Project Wide Estimates'!$Q$18,(IF('Individual Parcel Estimate'!U34="Commercial 1",'Individual Parcel Estimate'!R34*'Project Wide Estimates'!$Q$19,(IF('Individual Parcel Estimate'!U34="Commercial 2",'Individual Parcel Estimate'!R34*'Project Wide Estimates'!$Q$20,(IF('Individual Parcel Estimate'!U34="Industrial 1",'Individual Parcel Estimate'!R34*'Project Wide Estimates'!$Q$21,(IF('Individual Parcel Estimate'!U34="Industrial 2",'Individual Parcel Estimate'!R34*'Project Wide Estimates'!$Q$22,(IF('Individual Parcel Estimate'!U34="Other 1",'Individual Parcel Estimate'!R34*'Project Wide Estimates'!$Q$23,(IF('Individual Parcel Estimate'!U34="Other 2",'Individual Parcel Estimate'!R34*'Project Wide Estimates'!$Q$24))))))))))))))))))))</f>
        <v>0</v>
      </c>
      <c r="T34" s="231"/>
      <c r="U34" s="116"/>
      <c r="V34" s="116"/>
      <c r="W34" s="224"/>
      <c r="X34" s="116"/>
      <c r="Y34" s="203" t="b">
        <f>(IF(U34="Agricultural 1",X34*('Project Wide Estimates'!$Q$15*0.1),(IF('Individual Parcel Estimate'!U34="Agricultural 2",'Individual Parcel Estimate'!X34*('Project Wide Estimates'!$Q$16*0.1),(IF('Individual Parcel Estimate'!U34="Residential 1",'Individual Parcel Estimate'!X34*('Project Wide Estimates'!$Q$17*0.1),(IF('Individual Parcel Estimate'!U34="Residential 2",'Individual Parcel Estimate'!X34*('Project Wide Estimates'!$Q$18*0.1),(IF('Individual Parcel Estimate'!U34="Commercial 1",'Individual Parcel Estimate'!X34*('Project Wide Estimates'!$Q$19*0.1),(IF('Individual Parcel Estimate'!U34="Commercial 2",'Individual Parcel Estimate'!X34*('Project Wide Estimates'!$Q$20*0.1),(IF('Individual Parcel Estimate'!U34="Industrial 1",'Individual Parcel Estimate'!X34*('Project Wide Estimates'!$Q$21*0.1),(IF('Individual Parcel Estimate'!U34="Industrial 2",'Individual Parcel Estimate'!X34*('Project Wide Estimates'!$Q$22*0.1),(IF('Individual Parcel Estimate'!U34="Other 1",'Individual Parcel Estimate'!X34*('Project Wide Estimates'!$Q$23*0.1),(IF('Individual Parcel Estimate'!U34="Other 2",'Individual Parcel Estimate'!X34*('Project Wide Estimates'!$Q$24*0.1)))))))))))))))))))))</f>
        <v>0</v>
      </c>
      <c r="Z34" s="203" t="b">
        <f>(IF(U34="Agricultural 1",'Project Wide Estimates'!$Q$15*'Individual Parcel Estimate'!R34, (IF('Individual Parcel Estimate'!U34="Agricultural 2", 'Project Wide Estimates'!$Q$16*'Individual Parcel Estimate'!R34, (IF('Individual Parcel Estimate'!U34="Residential 1", 'Project Wide Estimates'!$Q$17*'Individual Parcel Estimate'!R34, (IF('Individual Parcel Estimate'!U34="Residential 2",'Project Wide Estimates'!$Q$18*'Individual Parcel Estimate'!R34, (IF('Individual Parcel Estimate'!U34="Commercial 1",'Project Wide Estimates'!$Q$19*'Individual Parcel Estimate'!R34, (IF('Individual Parcel Estimate'!U34="Commercial 2", 'Project Wide Estimates'!$Q$20*'Individual Parcel Estimate'!R34, (IF('Individual Parcel Estimate'!U34="Industrial 1", 'Project Wide Estimates'!$Q$21*'Individual Parcel Estimate'!R34, (IF('Individual Parcel Estimate'!U34="Industrial 2", 'Project Wide Estimates'!$Q$22*'Individual Parcel Estimate'!R34, (IF('Individual Parcel Estimate'!U34="Other 1", 'Project Wide Estimates'!$Q$23*'Individual Parcel Estimate'!R34, (IF('Individual Parcel Estimate'!U34="Other 2", 'Project Wide Estimates'!$Q$24*'Individual Parcel Estimate'!R34))))))))))))))))))))</f>
        <v>0</v>
      </c>
      <c r="AA34" s="222">
        <f t="shared" si="4"/>
        <v>0</v>
      </c>
      <c r="AB34" s="203" t="b">
        <f t="shared" ref="AB34:AB45" si="6">Y34</f>
        <v>0</v>
      </c>
      <c r="AC34" s="218"/>
      <c r="AD34" s="218"/>
      <c r="AE34" s="219"/>
      <c r="AF34" s="217"/>
      <c r="AG34" s="217"/>
      <c r="AH34" s="217"/>
      <c r="AI34" s="217"/>
      <c r="AJ34" s="217"/>
      <c r="AK34" s="203">
        <f t="shared" ref="AK34:AK45" si="7">SUM(Z34:AC34)*0.2</f>
        <v>0</v>
      </c>
      <c r="AL34" s="203">
        <f t="shared" ref="AL34:AL45" si="8">SUM(Z34,AB34,AC34,AF34,AG34,AH34,AI34,AJ34,AK34)</f>
        <v>0</v>
      </c>
      <c r="AM34" s="117"/>
      <c r="AN34" s="117"/>
      <c r="AO34" s="117"/>
      <c r="AP34" s="259">
        <f t="shared" si="5"/>
        <v>0</v>
      </c>
      <c r="AQ34" s="117"/>
    </row>
    <row r="35" spans="1:43">
      <c r="A35" s="114"/>
      <c r="B35" s="115"/>
      <c r="C35" s="116"/>
      <c r="D35" s="116"/>
      <c r="E35" s="116"/>
      <c r="F35" s="116"/>
      <c r="G35" s="203" t="b">
        <f>(IF(F35="Consultant", "enter manually", (IF(C35="W", 'Project Wide Estimates'!$H$12*'Project Wide Estimates'!$E$31, (IF(C35="N", ('Project Wide Estimates'!$H$13+'Project Wide Estimates'!$F$13)*'Project Wide Estimates'!$E$31, (IF('Individual Parcel Estimate'!C35="I", ('Project Wide Estimates'!$H$14+'Project Wide Estimates'!$F$14)*'Project Wide Estimates'!$E$31, (IF('Individual Parcel Estimate'!C35="II", ('Project Wide Estimates'!$H$15+'Project Wide Estimates'!$F$15)*'Project Wide Estimates'!$E$31, (IF('Individual Parcel Estimate'!C35="M", ('Project Wide Estimates'!$H$16+'Project Wide Estimates'!$F$16)*'Project Wide Estimates'!$E$31, (IF('Individual Parcel Estimate'!C35="MI", ('Project Wide Estimates'!$H$17+'Project Wide Estimates'!$F$17)*'Project Wide Estimates'!$E$31, (IF('Individual Parcel Estimate'!C35="C", ('Project Wide Estimates'!$H$18+'Project Wide Estimates'!$F$18)*'Project Wide Estimates'!$E$31, (IF('Individual Parcel Estimate'!C35="CI", ('Project Wide Estimates'!$H$19+'Project Wide Estimates'!$F$19)*'Project Wide Estimates'!$E$31))))))))))))))))))</f>
        <v>0</v>
      </c>
      <c r="H35" s="116"/>
      <c r="I35" s="203" t="b">
        <f>(IF(H35="Consultant","enter manually",(IF(C35="W",('Project Wide Estimates'!$G$12+'Project Wide Estimates'!$I$12+'Project Wide Estimates'!$F$12)*'Project Wide Estimates'!$E$31,(IF(C35="N",('Project Wide Estimates'!$G$13+'Project Wide Estimates'!$I$13)*'Project Wide Estimates'!$E$31,(IF('Individual Parcel Estimate'!C35="I",'Project Wide Estimates'!$I$14*'Project Wide Estimates'!$E$31,(IF('Individual Parcel Estimate'!C35="II",'Project Wide Estimates'!$I$15*'Project Wide Estimates'!$E$31,(IF('Individual Parcel Estimate'!C35="M",'Project Wide Estimates'!$I$16*'Project Wide Estimates'!$E$31,(IF('Individual Parcel Estimate'!C35="MI",'Project Wide Estimates'!$I$17*'Project Wide Estimates'!$E$31,(IF('Individual Parcel Estimate'!C35="C",'Project Wide Estimates'!$I$18*'Project Wide Estimates'!$E$31,(IF('Individual Parcel Estimate'!C35="CI",'Project Wide Estimates'!$I$19*'Project Wide Estimates'!$E$31))))))))))))))))))</f>
        <v>0</v>
      </c>
      <c r="J35" s="116"/>
      <c r="K35" s="203" t="b">
        <f>(IF(J35="Consultant","enter manually",(IF(C35="W","na",(IF(C35="N","na",(IF(C35="I","na",(IF(C35="II",'Project Wide Estimates'!$J$15*'Project Wide Estimates'!$E$31,(IF('Individual Parcel Estimate'!C35="M","na",(IF('Individual Parcel Estimate'!C35="MI",'Project Wide Estimates'!$J$17*'Project Wide Estimates'!$E$31,(IF('Individual Parcel Estimate'!C35="C","na",(IF('Individual Parcel Estimate'!C35="CI",'Project Wide Estimates'!$J$19*'Project Wide Estimates'!$E$31))))))))))))))))))</f>
        <v>0</v>
      </c>
      <c r="L35" s="116"/>
      <c r="M35" s="203" t="b">
        <f>(IF(L35="Consultant","enter manually",(IF(C35="W","na",(IF(C35="N","na",(IF(C35="I","na",(IF(C35="II",'Project Wide Estimates'!$K$15*'Project Wide Estimates'!$E$31,(IF('Individual Parcel Estimate'!C35="M","na",(IF('Individual Parcel Estimate'!C35="MI",'Project Wide Estimates'!$K$17*'Project Wide Estimates'!$E$31,(IF('Individual Parcel Estimate'!C35="C","na",(IF('Individual Parcel Estimate'!C35="CI",'Project Wide Estimates'!$K$19*'Project Wide Estimates'!$E$31))))))))))))))))))</f>
        <v>0</v>
      </c>
      <c r="N35" s="218"/>
      <c r="O35" s="217"/>
      <c r="P35" s="203" t="b">
        <f>(IF(C35="W",('Project Wide Estimates'!$D$12+'Project Wide Estimates'!$E$12)*'Project Wide Estimates'!$E$31,(IF(C35="N",('Project Wide Estimates'!$D$13+'Project Wide Estimates'!$E$13)*'Project Wide Estimates'!$E$31,(IF('Individual Parcel Estimate'!C35="I",('Project Wide Estimates'!$D$14+'Project Wide Estimates'!$E$14)*'Project Wide Estimates'!$E$31,(IF('Individual Parcel Estimate'!C35="II",('Project Wide Estimates'!$D$15+'Project Wide Estimates'!$E$15)*'Project Wide Estimates'!$E$31,(IF('Individual Parcel Estimate'!C35="M",('Project Wide Estimates'!$D$16+'Project Wide Estimates'!$E$16)*'Project Wide Estimates'!$E$31,(IF('Individual Parcel Estimate'!C35="MI",('Project Wide Estimates'!$D$17+'Project Wide Estimates'!$E$17)*'Project Wide Estimates'!$E$31,(IF('Individual Parcel Estimate'!C35="C",('Project Wide Estimates'!$D$18+'Project Wide Estimates'!$E$18)*'Project Wide Estimates'!$E$31,(IF('Individual Parcel Estimate'!C35="CI",('Project Wide Estimates'!$D$19+'Project Wide Estimates'!$E$19)*'Project Wide Estimates'!$E$31))))))))))))))))</f>
        <v>0</v>
      </c>
      <c r="Q35" s="318"/>
      <c r="R35" s="116"/>
      <c r="S35" s="203" t="b">
        <f>(IF(U35="Agricultural 1",R35*'Project Wide Estimates'!$Q$15,(IF('Individual Parcel Estimate'!U35="Agricultural 2",'Individual Parcel Estimate'!R35*'Project Wide Estimates'!$Q$16,(IF('Individual Parcel Estimate'!U35="Residential 1",'Individual Parcel Estimate'!R35*'Project Wide Estimates'!$Q$17,(IF('Individual Parcel Estimate'!U35="Residential 2",'Individual Parcel Estimate'!R35*'Project Wide Estimates'!$Q$18,(IF('Individual Parcel Estimate'!U35="Commercial 1",'Individual Parcel Estimate'!R35*'Project Wide Estimates'!$Q$19,(IF('Individual Parcel Estimate'!U35="Commercial 2",'Individual Parcel Estimate'!R35*'Project Wide Estimates'!$Q$20,(IF('Individual Parcel Estimate'!U35="Industrial 1",'Individual Parcel Estimate'!R35*'Project Wide Estimates'!$Q$21,(IF('Individual Parcel Estimate'!U35="Industrial 2",'Individual Parcel Estimate'!R35*'Project Wide Estimates'!$Q$22,(IF('Individual Parcel Estimate'!U35="Other 1",'Individual Parcel Estimate'!R35*'Project Wide Estimates'!$Q$23,(IF('Individual Parcel Estimate'!U35="Other 2",'Individual Parcel Estimate'!R35*'Project Wide Estimates'!$Q$24))))))))))))))))))))</f>
        <v>0</v>
      </c>
      <c r="T35" s="231"/>
      <c r="U35" s="116"/>
      <c r="V35" s="116"/>
      <c r="W35" s="224"/>
      <c r="X35" s="116"/>
      <c r="Y35" s="203" t="b">
        <f>(IF(U35="Agricultural 1",X35*('Project Wide Estimates'!$Q$15*0.1),(IF('Individual Parcel Estimate'!U35="Agricultural 2",'Individual Parcel Estimate'!X35*('Project Wide Estimates'!$Q$16*0.1),(IF('Individual Parcel Estimate'!U35="Residential 1",'Individual Parcel Estimate'!X35*('Project Wide Estimates'!$Q$17*0.1),(IF('Individual Parcel Estimate'!U35="Residential 2",'Individual Parcel Estimate'!X35*('Project Wide Estimates'!$Q$18*0.1),(IF('Individual Parcel Estimate'!U35="Commercial 1",'Individual Parcel Estimate'!X35*('Project Wide Estimates'!$Q$19*0.1),(IF('Individual Parcel Estimate'!U35="Commercial 2",'Individual Parcel Estimate'!X35*('Project Wide Estimates'!$Q$20*0.1),(IF('Individual Parcel Estimate'!U35="Industrial 1",'Individual Parcel Estimate'!X35*('Project Wide Estimates'!$Q$21*0.1),(IF('Individual Parcel Estimate'!U35="Industrial 2",'Individual Parcel Estimate'!X35*('Project Wide Estimates'!$Q$22*0.1),(IF('Individual Parcel Estimate'!U35="Other 1",'Individual Parcel Estimate'!X35*('Project Wide Estimates'!$Q$23*0.1),(IF('Individual Parcel Estimate'!U35="Other 2",'Individual Parcel Estimate'!X35*('Project Wide Estimates'!$Q$24*0.1)))))))))))))))))))))</f>
        <v>0</v>
      </c>
      <c r="Z35" s="203" t="b">
        <f>(IF(U35="Agricultural 1",'Project Wide Estimates'!$Q$15*'Individual Parcel Estimate'!R35, (IF('Individual Parcel Estimate'!U35="Agricultural 2", 'Project Wide Estimates'!$Q$16*'Individual Parcel Estimate'!R35, (IF('Individual Parcel Estimate'!U35="Residential 1", 'Project Wide Estimates'!$Q$17*'Individual Parcel Estimate'!R35, (IF('Individual Parcel Estimate'!U35="Residential 2",'Project Wide Estimates'!$Q$18*'Individual Parcel Estimate'!R35, (IF('Individual Parcel Estimate'!U35="Commercial 1",'Project Wide Estimates'!$Q$19*'Individual Parcel Estimate'!R35, (IF('Individual Parcel Estimate'!U35="Commercial 2", 'Project Wide Estimates'!$Q$20*'Individual Parcel Estimate'!R35, (IF('Individual Parcel Estimate'!U35="Industrial 1", 'Project Wide Estimates'!$Q$21*'Individual Parcel Estimate'!R35, (IF('Individual Parcel Estimate'!U35="Industrial 2", 'Project Wide Estimates'!$Q$22*'Individual Parcel Estimate'!R35, (IF('Individual Parcel Estimate'!U35="Other 1", 'Project Wide Estimates'!$Q$23*'Individual Parcel Estimate'!R35, (IF('Individual Parcel Estimate'!U35="Other 2", 'Project Wide Estimates'!$Q$24*'Individual Parcel Estimate'!R35))))))))))))))))))))</f>
        <v>0</v>
      </c>
      <c r="AA35" s="222">
        <f t="shared" si="4"/>
        <v>0</v>
      </c>
      <c r="AB35" s="203" t="b">
        <f t="shared" si="6"/>
        <v>0</v>
      </c>
      <c r="AC35" s="218"/>
      <c r="AD35" s="218"/>
      <c r="AE35" s="219"/>
      <c r="AF35" s="217"/>
      <c r="AG35" s="217"/>
      <c r="AH35" s="217"/>
      <c r="AI35" s="217"/>
      <c r="AJ35" s="217"/>
      <c r="AK35" s="203">
        <f t="shared" si="7"/>
        <v>0</v>
      </c>
      <c r="AL35" s="203">
        <f t="shared" si="8"/>
        <v>0</v>
      </c>
      <c r="AM35" s="117"/>
      <c r="AN35" s="117"/>
      <c r="AO35" s="117"/>
      <c r="AP35" s="259">
        <f t="shared" si="5"/>
        <v>0</v>
      </c>
      <c r="AQ35" s="117"/>
    </row>
    <row r="36" spans="1:43">
      <c r="A36" s="114"/>
      <c r="B36" s="115"/>
      <c r="C36" s="116"/>
      <c r="D36" s="116"/>
      <c r="E36" s="116"/>
      <c r="F36" s="116"/>
      <c r="G36" s="203" t="b">
        <f>(IF(F36="Consultant", "enter manually", (IF(C36="W", 'Project Wide Estimates'!$H$12*'Project Wide Estimates'!$E$31, (IF(C36="N", ('Project Wide Estimates'!$H$13+'Project Wide Estimates'!$F$13)*'Project Wide Estimates'!$E$31, (IF('Individual Parcel Estimate'!C36="I", ('Project Wide Estimates'!$H$14+'Project Wide Estimates'!$F$14)*'Project Wide Estimates'!$E$31, (IF('Individual Parcel Estimate'!C36="II", ('Project Wide Estimates'!$H$15+'Project Wide Estimates'!$F$15)*'Project Wide Estimates'!$E$31, (IF('Individual Parcel Estimate'!C36="M", ('Project Wide Estimates'!$H$16+'Project Wide Estimates'!$F$16)*'Project Wide Estimates'!$E$31, (IF('Individual Parcel Estimate'!C36="MI", ('Project Wide Estimates'!$H$17+'Project Wide Estimates'!$F$17)*'Project Wide Estimates'!$E$31, (IF('Individual Parcel Estimate'!C36="C", ('Project Wide Estimates'!$H$18+'Project Wide Estimates'!$F$18)*'Project Wide Estimates'!$E$31, (IF('Individual Parcel Estimate'!C36="CI", ('Project Wide Estimates'!$H$19+'Project Wide Estimates'!$F$19)*'Project Wide Estimates'!$E$31))))))))))))))))))</f>
        <v>0</v>
      </c>
      <c r="H36" s="116"/>
      <c r="I36" s="203" t="b">
        <f>(IF(H36="Consultant","enter manually",(IF(C36="W",('Project Wide Estimates'!$G$12+'Project Wide Estimates'!$I$12+'Project Wide Estimates'!$F$12)*'Project Wide Estimates'!$E$31,(IF(C36="N",('Project Wide Estimates'!$G$13+'Project Wide Estimates'!$I$13)*'Project Wide Estimates'!$E$31,(IF('Individual Parcel Estimate'!C36="I",'Project Wide Estimates'!$I$14*'Project Wide Estimates'!$E$31,(IF('Individual Parcel Estimate'!C36="II",'Project Wide Estimates'!$I$15*'Project Wide Estimates'!$E$31,(IF('Individual Parcel Estimate'!C36="M",'Project Wide Estimates'!$I$16*'Project Wide Estimates'!$E$31,(IF('Individual Parcel Estimate'!C36="MI",'Project Wide Estimates'!$I$17*'Project Wide Estimates'!$E$31,(IF('Individual Parcel Estimate'!C36="C",'Project Wide Estimates'!$I$18*'Project Wide Estimates'!$E$31,(IF('Individual Parcel Estimate'!C36="CI",'Project Wide Estimates'!$I$19*'Project Wide Estimates'!$E$31))))))))))))))))))</f>
        <v>0</v>
      </c>
      <c r="J36" s="116"/>
      <c r="K36" s="203" t="b">
        <f>(IF(J36="Consultant","enter manually",(IF(C36="W","na",(IF(C36="N","na",(IF(C36="I","na",(IF(C36="II",'Project Wide Estimates'!$J$15*'Project Wide Estimates'!$E$31,(IF('Individual Parcel Estimate'!C36="M","na",(IF('Individual Parcel Estimate'!C36="MI",'Project Wide Estimates'!$J$17*'Project Wide Estimates'!$E$31,(IF('Individual Parcel Estimate'!C36="C","na",(IF('Individual Parcel Estimate'!C36="CI",'Project Wide Estimates'!$J$19*'Project Wide Estimates'!$E$31))))))))))))))))))</f>
        <v>0</v>
      </c>
      <c r="L36" s="116"/>
      <c r="M36" s="203" t="b">
        <f>(IF(L36="Consultant","enter manually",(IF(C36="W","na",(IF(C36="N","na",(IF(C36="I","na",(IF(C36="II",'Project Wide Estimates'!$K$15*'Project Wide Estimates'!$E$31,(IF('Individual Parcel Estimate'!C36="M","na",(IF('Individual Parcel Estimate'!C36="MI",'Project Wide Estimates'!$K$17*'Project Wide Estimates'!$E$31,(IF('Individual Parcel Estimate'!C36="C","na",(IF('Individual Parcel Estimate'!C36="CI",'Project Wide Estimates'!$K$19*'Project Wide Estimates'!$E$31))))))))))))))))))</f>
        <v>0</v>
      </c>
      <c r="N36" s="218"/>
      <c r="O36" s="217"/>
      <c r="P36" s="203" t="b">
        <f>(IF(C36="W",('Project Wide Estimates'!$D$12+'Project Wide Estimates'!$E$12)*'Project Wide Estimates'!$E$31,(IF(C36="N",('Project Wide Estimates'!$D$13+'Project Wide Estimates'!$E$13)*'Project Wide Estimates'!$E$31,(IF('Individual Parcel Estimate'!C36="I",('Project Wide Estimates'!$D$14+'Project Wide Estimates'!$E$14)*'Project Wide Estimates'!$E$31,(IF('Individual Parcel Estimate'!C36="II",('Project Wide Estimates'!$D$15+'Project Wide Estimates'!$E$15)*'Project Wide Estimates'!$E$31,(IF('Individual Parcel Estimate'!C36="M",('Project Wide Estimates'!$D$16+'Project Wide Estimates'!$E$16)*'Project Wide Estimates'!$E$31,(IF('Individual Parcel Estimate'!C36="MI",('Project Wide Estimates'!$D$17+'Project Wide Estimates'!$E$17)*'Project Wide Estimates'!$E$31,(IF('Individual Parcel Estimate'!C36="C",('Project Wide Estimates'!$D$18+'Project Wide Estimates'!$E$18)*'Project Wide Estimates'!$E$31,(IF('Individual Parcel Estimate'!C36="CI",('Project Wide Estimates'!$D$19+'Project Wide Estimates'!$E$19)*'Project Wide Estimates'!$E$31))))))))))))))))</f>
        <v>0</v>
      </c>
      <c r="Q36" s="318"/>
      <c r="R36" s="116"/>
      <c r="S36" s="203" t="b">
        <f>(IF(U36="Agricultural 1",R36*'Project Wide Estimates'!$Q$15,(IF('Individual Parcel Estimate'!U36="Agricultural 2",'Individual Parcel Estimate'!R36*'Project Wide Estimates'!$Q$16,(IF('Individual Parcel Estimate'!U36="Residential 1",'Individual Parcel Estimate'!R36*'Project Wide Estimates'!$Q$17,(IF('Individual Parcel Estimate'!U36="Residential 2",'Individual Parcel Estimate'!R36*'Project Wide Estimates'!$Q$18,(IF('Individual Parcel Estimate'!U36="Commercial 1",'Individual Parcel Estimate'!R36*'Project Wide Estimates'!$Q$19,(IF('Individual Parcel Estimate'!U36="Commercial 2",'Individual Parcel Estimate'!R36*'Project Wide Estimates'!$Q$20,(IF('Individual Parcel Estimate'!U36="Industrial 1",'Individual Parcel Estimate'!R36*'Project Wide Estimates'!$Q$21,(IF('Individual Parcel Estimate'!U36="Industrial 2",'Individual Parcel Estimate'!R36*'Project Wide Estimates'!$Q$22,(IF('Individual Parcel Estimate'!U36="Other 1",'Individual Parcel Estimate'!R36*'Project Wide Estimates'!$Q$23,(IF('Individual Parcel Estimate'!U36="Other 2",'Individual Parcel Estimate'!R36*'Project Wide Estimates'!$Q$24))))))))))))))))))))</f>
        <v>0</v>
      </c>
      <c r="T36" s="231"/>
      <c r="U36" s="116"/>
      <c r="V36" s="116"/>
      <c r="W36" s="224"/>
      <c r="X36" s="116"/>
      <c r="Y36" s="203" t="b">
        <f>(IF(U36="Agricultural 1",X36*('Project Wide Estimates'!$Q$15*0.1),(IF('Individual Parcel Estimate'!U36="Agricultural 2",'Individual Parcel Estimate'!X36*('Project Wide Estimates'!$Q$16*0.1),(IF('Individual Parcel Estimate'!U36="Residential 1",'Individual Parcel Estimate'!X36*('Project Wide Estimates'!$Q$17*0.1),(IF('Individual Parcel Estimate'!U36="Residential 2",'Individual Parcel Estimate'!X36*('Project Wide Estimates'!$Q$18*0.1),(IF('Individual Parcel Estimate'!U36="Commercial 1",'Individual Parcel Estimate'!X36*('Project Wide Estimates'!$Q$19*0.1),(IF('Individual Parcel Estimate'!U36="Commercial 2",'Individual Parcel Estimate'!X36*('Project Wide Estimates'!$Q$20*0.1),(IF('Individual Parcel Estimate'!U36="Industrial 1",'Individual Parcel Estimate'!X36*('Project Wide Estimates'!$Q$21*0.1),(IF('Individual Parcel Estimate'!U36="Industrial 2",'Individual Parcel Estimate'!X36*('Project Wide Estimates'!$Q$22*0.1),(IF('Individual Parcel Estimate'!U36="Other 1",'Individual Parcel Estimate'!X36*('Project Wide Estimates'!$Q$23*0.1),(IF('Individual Parcel Estimate'!U36="Other 2",'Individual Parcel Estimate'!X36*('Project Wide Estimates'!$Q$24*0.1)))))))))))))))))))))</f>
        <v>0</v>
      </c>
      <c r="Z36" s="203" t="b">
        <f>(IF(U36="Agricultural 1",'Project Wide Estimates'!$Q$15*'Individual Parcel Estimate'!R36, (IF('Individual Parcel Estimate'!U36="Agricultural 2", 'Project Wide Estimates'!$Q$16*'Individual Parcel Estimate'!R36, (IF('Individual Parcel Estimate'!U36="Residential 1", 'Project Wide Estimates'!$Q$17*'Individual Parcel Estimate'!R36, (IF('Individual Parcel Estimate'!U36="Residential 2",'Project Wide Estimates'!$Q$18*'Individual Parcel Estimate'!R36, (IF('Individual Parcel Estimate'!U36="Commercial 1",'Project Wide Estimates'!$Q$19*'Individual Parcel Estimate'!R36, (IF('Individual Parcel Estimate'!U36="Commercial 2", 'Project Wide Estimates'!$Q$20*'Individual Parcel Estimate'!R36, (IF('Individual Parcel Estimate'!U36="Industrial 1", 'Project Wide Estimates'!$Q$21*'Individual Parcel Estimate'!R36, (IF('Individual Parcel Estimate'!U36="Industrial 2", 'Project Wide Estimates'!$Q$22*'Individual Parcel Estimate'!R36, (IF('Individual Parcel Estimate'!U36="Other 1", 'Project Wide Estimates'!$Q$23*'Individual Parcel Estimate'!R36, (IF('Individual Parcel Estimate'!U36="Other 2", 'Project Wide Estimates'!$Q$24*'Individual Parcel Estimate'!R36))))))))))))))))))))</f>
        <v>0</v>
      </c>
      <c r="AA36" s="222">
        <f t="shared" si="4"/>
        <v>0</v>
      </c>
      <c r="AB36" s="203" t="b">
        <f t="shared" si="6"/>
        <v>0</v>
      </c>
      <c r="AC36" s="218"/>
      <c r="AD36" s="218"/>
      <c r="AE36" s="219"/>
      <c r="AF36" s="217"/>
      <c r="AG36" s="217"/>
      <c r="AH36" s="217"/>
      <c r="AI36" s="217"/>
      <c r="AJ36" s="217"/>
      <c r="AK36" s="203">
        <f t="shared" si="7"/>
        <v>0</v>
      </c>
      <c r="AL36" s="203">
        <f t="shared" si="8"/>
        <v>0</v>
      </c>
      <c r="AM36" s="117"/>
      <c r="AN36" s="117"/>
      <c r="AO36" s="117"/>
      <c r="AP36" s="259">
        <f t="shared" si="5"/>
        <v>0</v>
      </c>
      <c r="AQ36" s="117"/>
    </row>
    <row r="37" spans="1:43">
      <c r="A37" s="114"/>
      <c r="B37" s="115"/>
      <c r="C37" s="116"/>
      <c r="D37" s="116"/>
      <c r="E37" s="116"/>
      <c r="F37" s="116"/>
      <c r="G37" s="203" t="b">
        <f>(IF(F37="Consultant", "enter manually", (IF(C37="W", 'Project Wide Estimates'!$H$12*'Project Wide Estimates'!$E$31, (IF(C37="N", ('Project Wide Estimates'!$H$13+'Project Wide Estimates'!$F$13)*'Project Wide Estimates'!$E$31, (IF('Individual Parcel Estimate'!C37="I", ('Project Wide Estimates'!$H$14+'Project Wide Estimates'!$F$14)*'Project Wide Estimates'!$E$31, (IF('Individual Parcel Estimate'!C37="II", ('Project Wide Estimates'!$H$15+'Project Wide Estimates'!$F$15)*'Project Wide Estimates'!$E$31, (IF('Individual Parcel Estimate'!C37="M", ('Project Wide Estimates'!$H$16+'Project Wide Estimates'!$F$16)*'Project Wide Estimates'!$E$31, (IF('Individual Parcel Estimate'!C37="MI", ('Project Wide Estimates'!$H$17+'Project Wide Estimates'!$F$17)*'Project Wide Estimates'!$E$31, (IF('Individual Parcel Estimate'!C37="C", ('Project Wide Estimates'!$H$18+'Project Wide Estimates'!$F$18)*'Project Wide Estimates'!$E$31, (IF('Individual Parcel Estimate'!C37="CI", ('Project Wide Estimates'!$H$19+'Project Wide Estimates'!$F$19)*'Project Wide Estimates'!$E$31))))))))))))))))))</f>
        <v>0</v>
      </c>
      <c r="H37" s="116"/>
      <c r="I37" s="203" t="b">
        <f>(IF(H37="Consultant","enter manually",(IF(C37="W",('Project Wide Estimates'!$G$12+'Project Wide Estimates'!$I$12+'Project Wide Estimates'!$F$12)*'Project Wide Estimates'!$E$31,(IF(C37="N",('Project Wide Estimates'!$G$13+'Project Wide Estimates'!$I$13)*'Project Wide Estimates'!$E$31,(IF('Individual Parcel Estimate'!C37="I",'Project Wide Estimates'!$I$14*'Project Wide Estimates'!$E$31,(IF('Individual Parcel Estimate'!C37="II",'Project Wide Estimates'!$I$15*'Project Wide Estimates'!$E$31,(IF('Individual Parcel Estimate'!C37="M",'Project Wide Estimates'!$I$16*'Project Wide Estimates'!$E$31,(IF('Individual Parcel Estimate'!C37="MI",'Project Wide Estimates'!$I$17*'Project Wide Estimates'!$E$31,(IF('Individual Parcel Estimate'!C37="C",'Project Wide Estimates'!$I$18*'Project Wide Estimates'!$E$31,(IF('Individual Parcel Estimate'!C37="CI",'Project Wide Estimates'!$I$19*'Project Wide Estimates'!$E$31))))))))))))))))))</f>
        <v>0</v>
      </c>
      <c r="J37" s="116"/>
      <c r="K37" s="203" t="b">
        <f>(IF(J37="Consultant","enter manually",(IF(C37="W","na",(IF(C37="N","na",(IF(C37="I","na",(IF(C37="II",'Project Wide Estimates'!$J$15*'Project Wide Estimates'!$E$31,(IF('Individual Parcel Estimate'!C37="M","na",(IF('Individual Parcel Estimate'!C37="MI",'Project Wide Estimates'!$J$17*'Project Wide Estimates'!$E$31,(IF('Individual Parcel Estimate'!C37="C","na",(IF('Individual Parcel Estimate'!C37="CI",'Project Wide Estimates'!$J$19*'Project Wide Estimates'!$E$31))))))))))))))))))</f>
        <v>0</v>
      </c>
      <c r="L37" s="116"/>
      <c r="M37" s="203" t="b">
        <f>(IF(L37="Consultant","enter manually",(IF(C37="W","na",(IF(C37="N","na",(IF(C37="I","na",(IF(C37="II",'Project Wide Estimates'!$K$15*'Project Wide Estimates'!$E$31,(IF('Individual Parcel Estimate'!C37="M","na",(IF('Individual Parcel Estimate'!C37="MI",'Project Wide Estimates'!$K$17*'Project Wide Estimates'!$E$31,(IF('Individual Parcel Estimate'!C37="C","na",(IF('Individual Parcel Estimate'!C37="CI",'Project Wide Estimates'!$K$19*'Project Wide Estimates'!$E$31))))))))))))))))))</f>
        <v>0</v>
      </c>
      <c r="N37" s="218"/>
      <c r="O37" s="217"/>
      <c r="P37" s="203" t="b">
        <f>(IF(C37="W",('Project Wide Estimates'!$D$12+'Project Wide Estimates'!$E$12)*'Project Wide Estimates'!$E$31,(IF(C37="N",('Project Wide Estimates'!$D$13+'Project Wide Estimates'!$E$13)*'Project Wide Estimates'!$E$31,(IF('Individual Parcel Estimate'!C37="I",('Project Wide Estimates'!$D$14+'Project Wide Estimates'!$E$14)*'Project Wide Estimates'!$E$31,(IF('Individual Parcel Estimate'!C37="II",('Project Wide Estimates'!$D$15+'Project Wide Estimates'!$E$15)*'Project Wide Estimates'!$E$31,(IF('Individual Parcel Estimate'!C37="M",('Project Wide Estimates'!$D$16+'Project Wide Estimates'!$E$16)*'Project Wide Estimates'!$E$31,(IF('Individual Parcel Estimate'!C37="MI",('Project Wide Estimates'!$D$17+'Project Wide Estimates'!$E$17)*'Project Wide Estimates'!$E$31,(IF('Individual Parcel Estimate'!C37="C",('Project Wide Estimates'!$D$18+'Project Wide Estimates'!$E$18)*'Project Wide Estimates'!$E$31,(IF('Individual Parcel Estimate'!C37="CI",('Project Wide Estimates'!$D$19+'Project Wide Estimates'!$E$19)*'Project Wide Estimates'!$E$31))))))))))))))))</f>
        <v>0</v>
      </c>
      <c r="Q37" s="318"/>
      <c r="R37" s="116"/>
      <c r="S37" s="203" t="b">
        <f>(IF(U37="Agricultural 1",R37*'Project Wide Estimates'!$Q$15,(IF('Individual Parcel Estimate'!U37="Agricultural 2",'Individual Parcel Estimate'!R37*'Project Wide Estimates'!$Q$16,(IF('Individual Parcel Estimate'!U37="Residential 1",'Individual Parcel Estimate'!R37*'Project Wide Estimates'!$Q$17,(IF('Individual Parcel Estimate'!U37="Residential 2",'Individual Parcel Estimate'!R37*'Project Wide Estimates'!$Q$18,(IF('Individual Parcel Estimate'!U37="Commercial 1",'Individual Parcel Estimate'!R37*'Project Wide Estimates'!$Q$19,(IF('Individual Parcel Estimate'!U37="Commercial 2",'Individual Parcel Estimate'!R37*'Project Wide Estimates'!$Q$20,(IF('Individual Parcel Estimate'!U37="Industrial 1",'Individual Parcel Estimate'!R37*'Project Wide Estimates'!$Q$21,(IF('Individual Parcel Estimate'!U37="Industrial 2",'Individual Parcel Estimate'!R37*'Project Wide Estimates'!$Q$22,(IF('Individual Parcel Estimate'!U37="Other 1",'Individual Parcel Estimate'!R37*'Project Wide Estimates'!$Q$23,(IF('Individual Parcel Estimate'!U37="Other 2",'Individual Parcel Estimate'!R37*'Project Wide Estimates'!$Q$24))))))))))))))))))))</f>
        <v>0</v>
      </c>
      <c r="T37" s="231"/>
      <c r="U37" s="116"/>
      <c r="V37" s="116"/>
      <c r="W37" s="224"/>
      <c r="X37" s="116"/>
      <c r="Y37" s="203" t="b">
        <f>(IF(U37="Agricultural 1",X37*('Project Wide Estimates'!$Q$15*0.1),(IF('Individual Parcel Estimate'!U37="Agricultural 2",'Individual Parcel Estimate'!X37*('Project Wide Estimates'!$Q$16*0.1),(IF('Individual Parcel Estimate'!U37="Residential 1",'Individual Parcel Estimate'!X37*('Project Wide Estimates'!$Q$17*0.1),(IF('Individual Parcel Estimate'!U37="Residential 2",'Individual Parcel Estimate'!X37*('Project Wide Estimates'!$Q$18*0.1),(IF('Individual Parcel Estimate'!U37="Commercial 1",'Individual Parcel Estimate'!X37*('Project Wide Estimates'!$Q$19*0.1),(IF('Individual Parcel Estimate'!U37="Commercial 2",'Individual Parcel Estimate'!X37*('Project Wide Estimates'!$Q$20*0.1),(IF('Individual Parcel Estimate'!U37="Industrial 1",'Individual Parcel Estimate'!X37*('Project Wide Estimates'!$Q$21*0.1),(IF('Individual Parcel Estimate'!U37="Industrial 2",'Individual Parcel Estimate'!X37*('Project Wide Estimates'!$Q$22*0.1),(IF('Individual Parcel Estimate'!U37="Other 1",'Individual Parcel Estimate'!X37*('Project Wide Estimates'!$Q$23*0.1),(IF('Individual Parcel Estimate'!U37="Other 2",'Individual Parcel Estimate'!X37*('Project Wide Estimates'!$Q$24*0.1)))))))))))))))))))))</f>
        <v>0</v>
      </c>
      <c r="Z37" s="203" t="b">
        <f>(IF(U37="Agricultural 1",'Project Wide Estimates'!$Q$15*'Individual Parcel Estimate'!R37, (IF('Individual Parcel Estimate'!U37="Agricultural 2", 'Project Wide Estimates'!$Q$16*'Individual Parcel Estimate'!R37, (IF('Individual Parcel Estimate'!U37="Residential 1", 'Project Wide Estimates'!$Q$17*'Individual Parcel Estimate'!R37, (IF('Individual Parcel Estimate'!U37="Residential 2",'Project Wide Estimates'!$Q$18*'Individual Parcel Estimate'!R37, (IF('Individual Parcel Estimate'!U37="Commercial 1",'Project Wide Estimates'!$Q$19*'Individual Parcel Estimate'!R37, (IF('Individual Parcel Estimate'!U37="Commercial 2", 'Project Wide Estimates'!$Q$20*'Individual Parcel Estimate'!R37, (IF('Individual Parcel Estimate'!U37="Industrial 1", 'Project Wide Estimates'!$Q$21*'Individual Parcel Estimate'!R37, (IF('Individual Parcel Estimate'!U37="Industrial 2", 'Project Wide Estimates'!$Q$22*'Individual Parcel Estimate'!R37, (IF('Individual Parcel Estimate'!U37="Other 1", 'Project Wide Estimates'!$Q$23*'Individual Parcel Estimate'!R37, (IF('Individual Parcel Estimate'!U37="Other 2", 'Project Wide Estimates'!$Q$24*'Individual Parcel Estimate'!R37))))))))))))))))))))</f>
        <v>0</v>
      </c>
      <c r="AA37" s="222">
        <f t="shared" si="4"/>
        <v>0</v>
      </c>
      <c r="AB37" s="203" t="b">
        <f t="shared" si="6"/>
        <v>0</v>
      </c>
      <c r="AC37" s="218"/>
      <c r="AD37" s="218"/>
      <c r="AE37" s="219"/>
      <c r="AF37" s="217"/>
      <c r="AG37" s="217"/>
      <c r="AH37" s="217"/>
      <c r="AI37" s="217"/>
      <c r="AJ37" s="217"/>
      <c r="AK37" s="203">
        <f t="shared" si="7"/>
        <v>0</v>
      </c>
      <c r="AL37" s="203">
        <f t="shared" si="8"/>
        <v>0</v>
      </c>
      <c r="AM37" s="117"/>
      <c r="AN37" s="117"/>
      <c r="AO37" s="117"/>
      <c r="AP37" s="259">
        <f t="shared" si="5"/>
        <v>0</v>
      </c>
      <c r="AQ37" s="117"/>
    </row>
    <row r="38" spans="1:43">
      <c r="A38" s="114"/>
      <c r="B38" s="115"/>
      <c r="C38" s="116"/>
      <c r="D38" s="116"/>
      <c r="E38" s="116"/>
      <c r="F38" s="116"/>
      <c r="G38" s="203" t="b">
        <f>(IF(F38="Consultant", "enter manually", (IF(C38="W", 'Project Wide Estimates'!$H$12*'Project Wide Estimates'!$E$31, (IF(C38="N", ('Project Wide Estimates'!$H$13+'Project Wide Estimates'!$F$13)*'Project Wide Estimates'!$E$31, (IF('Individual Parcel Estimate'!C38="I", ('Project Wide Estimates'!$H$14+'Project Wide Estimates'!$F$14)*'Project Wide Estimates'!$E$31, (IF('Individual Parcel Estimate'!C38="II", ('Project Wide Estimates'!$H$15+'Project Wide Estimates'!$F$15)*'Project Wide Estimates'!$E$31, (IF('Individual Parcel Estimate'!C38="M", ('Project Wide Estimates'!$H$16+'Project Wide Estimates'!$F$16)*'Project Wide Estimates'!$E$31, (IF('Individual Parcel Estimate'!C38="MI", ('Project Wide Estimates'!$H$17+'Project Wide Estimates'!$F$17)*'Project Wide Estimates'!$E$31, (IF('Individual Parcel Estimate'!C38="C", ('Project Wide Estimates'!$H$18+'Project Wide Estimates'!$F$18)*'Project Wide Estimates'!$E$31, (IF('Individual Parcel Estimate'!C38="CI", ('Project Wide Estimates'!$H$19+'Project Wide Estimates'!$F$19)*'Project Wide Estimates'!$E$31))))))))))))))))))</f>
        <v>0</v>
      </c>
      <c r="H38" s="116"/>
      <c r="I38" s="203" t="b">
        <f>(IF(H38="Consultant","enter manually",(IF(C38="W",('Project Wide Estimates'!$G$12+'Project Wide Estimates'!$I$12+'Project Wide Estimates'!$F$12)*'Project Wide Estimates'!$E$31,(IF(C38="N",('Project Wide Estimates'!$G$13+'Project Wide Estimates'!$I$13)*'Project Wide Estimates'!$E$31,(IF('Individual Parcel Estimate'!C38="I",'Project Wide Estimates'!$I$14*'Project Wide Estimates'!$E$31,(IF('Individual Parcel Estimate'!C38="II",'Project Wide Estimates'!$I$15*'Project Wide Estimates'!$E$31,(IF('Individual Parcel Estimate'!C38="M",'Project Wide Estimates'!$I$16*'Project Wide Estimates'!$E$31,(IF('Individual Parcel Estimate'!C38="MI",'Project Wide Estimates'!$I$17*'Project Wide Estimates'!$E$31,(IF('Individual Parcel Estimate'!C38="C",'Project Wide Estimates'!$I$18*'Project Wide Estimates'!$E$31,(IF('Individual Parcel Estimate'!C38="CI",'Project Wide Estimates'!$I$19*'Project Wide Estimates'!$E$31))))))))))))))))))</f>
        <v>0</v>
      </c>
      <c r="J38" s="116"/>
      <c r="K38" s="203" t="b">
        <f>(IF(J38="Consultant","enter manually",(IF(C38="W","na",(IF(C38="N","na",(IF(C38="I","na",(IF(C38="II",'Project Wide Estimates'!$J$15*'Project Wide Estimates'!$E$31,(IF('Individual Parcel Estimate'!C38="M","na",(IF('Individual Parcel Estimate'!C38="MI",'Project Wide Estimates'!$J$17*'Project Wide Estimates'!$E$31,(IF('Individual Parcel Estimate'!C38="C","na",(IF('Individual Parcel Estimate'!C38="CI",'Project Wide Estimates'!$J$19*'Project Wide Estimates'!$E$31))))))))))))))))))</f>
        <v>0</v>
      </c>
      <c r="L38" s="116"/>
      <c r="M38" s="203" t="b">
        <f>(IF(L38="Consultant","enter manually",(IF(C38="W","na",(IF(C38="N","na",(IF(C38="I","na",(IF(C38="II",'Project Wide Estimates'!$K$15*'Project Wide Estimates'!$E$31,(IF('Individual Parcel Estimate'!C38="M","na",(IF('Individual Parcel Estimate'!C38="MI",'Project Wide Estimates'!$K$17*'Project Wide Estimates'!$E$31,(IF('Individual Parcel Estimate'!C38="C","na",(IF('Individual Parcel Estimate'!C38="CI",'Project Wide Estimates'!$K$19*'Project Wide Estimates'!$E$31))))))))))))))))))</f>
        <v>0</v>
      </c>
      <c r="N38" s="218"/>
      <c r="O38" s="217"/>
      <c r="P38" s="203" t="b">
        <f>(IF(C38="W",('Project Wide Estimates'!$D$12+'Project Wide Estimates'!$E$12)*'Project Wide Estimates'!$E$31,(IF(C38="N",('Project Wide Estimates'!$D$13+'Project Wide Estimates'!$E$13)*'Project Wide Estimates'!$E$31,(IF('Individual Parcel Estimate'!C38="I",('Project Wide Estimates'!$D$14+'Project Wide Estimates'!$E$14)*'Project Wide Estimates'!$E$31,(IF('Individual Parcel Estimate'!C38="II",('Project Wide Estimates'!$D$15+'Project Wide Estimates'!$E$15)*'Project Wide Estimates'!$E$31,(IF('Individual Parcel Estimate'!C38="M",('Project Wide Estimates'!$D$16+'Project Wide Estimates'!$E$16)*'Project Wide Estimates'!$E$31,(IF('Individual Parcel Estimate'!C38="MI",('Project Wide Estimates'!$D$17+'Project Wide Estimates'!$E$17)*'Project Wide Estimates'!$E$31,(IF('Individual Parcel Estimate'!C38="C",('Project Wide Estimates'!$D$18+'Project Wide Estimates'!$E$18)*'Project Wide Estimates'!$E$31,(IF('Individual Parcel Estimate'!C38="CI",('Project Wide Estimates'!$D$19+'Project Wide Estimates'!$E$19)*'Project Wide Estimates'!$E$31))))))))))))))))</f>
        <v>0</v>
      </c>
      <c r="Q38" s="318"/>
      <c r="R38" s="116"/>
      <c r="S38" s="203" t="b">
        <f>(IF(U38="Agricultural 1",R38*'Project Wide Estimates'!$Q$15,(IF('Individual Parcel Estimate'!U38="Agricultural 2",'Individual Parcel Estimate'!R38*'Project Wide Estimates'!$Q$16,(IF('Individual Parcel Estimate'!U38="Residential 1",'Individual Parcel Estimate'!R38*'Project Wide Estimates'!$Q$17,(IF('Individual Parcel Estimate'!U38="Residential 2",'Individual Parcel Estimate'!R38*'Project Wide Estimates'!$Q$18,(IF('Individual Parcel Estimate'!U38="Commercial 1",'Individual Parcel Estimate'!R38*'Project Wide Estimates'!$Q$19,(IF('Individual Parcel Estimate'!U38="Commercial 2",'Individual Parcel Estimate'!R38*'Project Wide Estimates'!$Q$20,(IF('Individual Parcel Estimate'!U38="Industrial 1",'Individual Parcel Estimate'!R38*'Project Wide Estimates'!$Q$21,(IF('Individual Parcel Estimate'!U38="Industrial 2",'Individual Parcel Estimate'!R38*'Project Wide Estimates'!$Q$22,(IF('Individual Parcel Estimate'!U38="Other 1",'Individual Parcel Estimate'!R38*'Project Wide Estimates'!$Q$23,(IF('Individual Parcel Estimate'!U38="Other 2",'Individual Parcel Estimate'!R38*'Project Wide Estimates'!$Q$24))))))))))))))))))))</f>
        <v>0</v>
      </c>
      <c r="T38" s="231"/>
      <c r="U38" s="116"/>
      <c r="V38" s="116"/>
      <c r="W38" s="224"/>
      <c r="X38" s="116"/>
      <c r="Y38" s="203" t="b">
        <f>(IF(U38="Agricultural 1",X38*('Project Wide Estimates'!$Q$15*0.1),(IF('Individual Parcel Estimate'!U38="Agricultural 2",'Individual Parcel Estimate'!X38*('Project Wide Estimates'!$Q$16*0.1),(IF('Individual Parcel Estimate'!U38="Residential 1",'Individual Parcel Estimate'!X38*('Project Wide Estimates'!$Q$17*0.1),(IF('Individual Parcel Estimate'!U38="Residential 2",'Individual Parcel Estimate'!X38*('Project Wide Estimates'!$Q$18*0.1),(IF('Individual Parcel Estimate'!U38="Commercial 1",'Individual Parcel Estimate'!X38*('Project Wide Estimates'!$Q$19*0.1),(IF('Individual Parcel Estimate'!U38="Commercial 2",'Individual Parcel Estimate'!X38*('Project Wide Estimates'!$Q$20*0.1),(IF('Individual Parcel Estimate'!U38="Industrial 1",'Individual Parcel Estimate'!X38*('Project Wide Estimates'!$Q$21*0.1),(IF('Individual Parcel Estimate'!U38="Industrial 2",'Individual Parcel Estimate'!X38*('Project Wide Estimates'!$Q$22*0.1),(IF('Individual Parcel Estimate'!U38="Other 1",'Individual Parcel Estimate'!X38*('Project Wide Estimates'!$Q$23*0.1),(IF('Individual Parcel Estimate'!U38="Other 2",'Individual Parcel Estimate'!X38*('Project Wide Estimates'!$Q$24*0.1)))))))))))))))))))))</f>
        <v>0</v>
      </c>
      <c r="Z38" s="203" t="b">
        <f>(IF(U38="Agricultural 1",'Project Wide Estimates'!$Q$15*'Individual Parcel Estimate'!R38, (IF('Individual Parcel Estimate'!U38="Agricultural 2", 'Project Wide Estimates'!$Q$16*'Individual Parcel Estimate'!R38, (IF('Individual Parcel Estimate'!U38="Residential 1", 'Project Wide Estimates'!$Q$17*'Individual Parcel Estimate'!R38, (IF('Individual Parcel Estimate'!U38="Residential 2",'Project Wide Estimates'!$Q$18*'Individual Parcel Estimate'!R38, (IF('Individual Parcel Estimate'!U38="Commercial 1",'Project Wide Estimates'!$Q$19*'Individual Parcel Estimate'!R38, (IF('Individual Parcel Estimate'!U38="Commercial 2", 'Project Wide Estimates'!$Q$20*'Individual Parcel Estimate'!R38, (IF('Individual Parcel Estimate'!U38="Industrial 1", 'Project Wide Estimates'!$Q$21*'Individual Parcel Estimate'!R38, (IF('Individual Parcel Estimate'!U38="Industrial 2", 'Project Wide Estimates'!$Q$22*'Individual Parcel Estimate'!R38, (IF('Individual Parcel Estimate'!U38="Other 1", 'Project Wide Estimates'!$Q$23*'Individual Parcel Estimate'!R38, (IF('Individual Parcel Estimate'!U38="Other 2", 'Project Wide Estimates'!$Q$24*'Individual Parcel Estimate'!R38))))))))))))))))))))</f>
        <v>0</v>
      </c>
      <c r="AA38" s="222">
        <f t="shared" si="4"/>
        <v>0</v>
      </c>
      <c r="AB38" s="203" t="b">
        <f t="shared" si="6"/>
        <v>0</v>
      </c>
      <c r="AC38" s="218"/>
      <c r="AD38" s="218"/>
      <c r="AE38" s="219"/>
      <c r="AF38" s="217"/>
      <c r="AG38" s="217"/>
      <c r="AH38" s="217"/>
      <c r="AI38" s="217"/>
      <c r="AJ38" s="217"/>
      <c r="AK38" s="203">
        <f t="shared" si="7"/>
        <v>0</v>
      </c>
      <c r="AL38" s="203">
        <f t="shared" si="8"/>
        <v>0</v>
      </c>
      <c r="AM38" s="117"/>
      <c r="AN38" s="117"/>
      <c r="AO38" s="117"/>
      <c r="AP38" s="259">
        <f t="shared" si="5"/>
        <v>0</v>
      </c>
      <c r="AQ38" s="117"/>
    </row>
    <row r="39" spans="1:43">
      <c r="A39" s="114"/>
      <c r="B39" s="115"/>
      <c r="C39" s="116"/>
      <c r="D39" s="116"/>
      <c r="E39" s="116"/>
      <c r="F39" s="116"/>
      <c r="G39" s="203" t="b">
        <f>(IF(F39="Consultant", "enter manually", (IF(C39="W", 'Project Wide Estimates'!$H$12*'Project Wide Estimates'!$E$31, (IF(C39="N", ('Project Wide Estimates'!$H$13+'Project Wide Estimates'!$F$13)*'Project Wide Estimates'!$E$31, (IF('Individual Parcel Estimate'!C39="I", ('Project Wide Estimates'!$H$14+'Project Wide Estimates'!$F$14)*'Project Wide Estimates'!$E$31, (IF('Individual Parcel Estimate'!C39="II", ('Project Wide Estimates'!$H$15+'Project Wide Estimates'!$F$15)*'Project Wide Estimates'!$E$31, (IF('Individual Parcel Estimate'!C39="M", ('Project Wide Estimates'!$H$16+'Project Wide Estimates'!$F$16)*'Project Wide Estimates'!$E$31, (IF('Individual Parcel Estimate'!C39="MI", ('Project Wide Estimates'!$H$17+'Project Wide Estimates'!$F$17)*'Project Wide Estimates'!$E$31, (IF('Individual Parcel Estimate'!C39="C", ('Project Wide Estimates'!$H$18+'Project Wide Estimates'!$F$18)*'Project Wide Estimates'!$E$31, (IF('Individual Parcel Estimate'!C39="CI", ('Project Wide Estimates'!$H$19+'Project Wide Estimates'!$F$19)*'Project Wide Estimates'!$E$31))))))))))))))))))</f>
        <v>0</v>
      </c>
      <c r="H39" s="116"/>
      <c r="I39" s="203" t="b">
        <f>(IF(H39="Consultant","enter manually",(IF(C39="W",('Project Wide Estimates'!$G$12+'Project Wide Estimates'!$I$12+'Project Wide Estimates'!$F$12)*'Project Wide Estimates'!$E$31,(IF(C39="N",('Project Wide Estimates'!$G$13+'Project Wide Estimates'!$I$13)*'Project Wide Estimates'!$E$31,(IF('Individual Parcel Estimate'!C39="I",'Project Wide Estimates'!$I$14*'Project Wide Estimates'!$E$31,(IF('Individual Parcel Estimate'!C39="II",'Project Wide Estimates'!$I$15*'Project Wide Estimates'!$E$31,(IF('Individual Parcel Estimate'!C39="M",'Project Wide Estimates'!$I$16*'Project Wide Estimates'!$E$31,(IF('Individual Parcel Estimate'!C39="MI",'Project Wide Estimates'!$I$17*'Project Wide Estimates'!$E$31,(IF('Individual Parcel Estimate'!C39="C",'Project Wide Estimates'!$I$18*'Project Wide Estimates'!$E$31,(IF('Individual Parcel Estimate'!C39="CI",'Project Wide Estimates'!$I$19*'Project Wide Estimates'!$E$31))))))))))))))))))</f>
        <v>0</v>
      </c>
      <c r="J39" s="116"/>
      <c r="K39" s="203" t="b">
        <f>(IF(J39="Consultant","enter manually",(IF(C39="W","na",(IF(C39="N","na",(IF(C39="I","na",(IF(C39="II",'Project Wide Estimates'!$J$15*'Project Wide Estimates'!$E$31,(IF('Individual Parcel Estimate'!C39="M","na",(IF('Individual Parcel Estimate'!C39="MI",'Project Wide Estimates'!$J$17*'Project Wide Estimates'!$E$31,(IF('Individual Parcel Estimate'!C39="C","na",(IF('Individual Parcel Estimate'!C39="CI",'Project Wide Estimates'!$J$19*'Project Wide Estimates'!$E$31))))))))))))))))))</f>
        <v>0</v>
      </c>
      <c r="L39" s="116"/>
      <c r="M39" s="203" t="b">
        <f>(IF(L39="Consultant","enter manually",(IF(C39="W","na",(IF(C39="N","na",(IF(C39="I","na",(IF(C39="II",'Project Wide Estimates'!$K$15*'Project Wide Estimates'!$E$31,(IF('Individual Parcel Estimate'!C39="M","na",(IF('Individual Parcel Estimate'!C39="MI",'Project Wide Estimates'!$K$17*'Project Wide Estimates'!$E$31,(IF('Individual Parcel Estimate'!C39="C","na",(IF('Individual Parcel Estimate'!C39="CI",'Project Wide Estimates'!$K$19*'Project Wide Estimates'!$E$31))))))))))))))))))</f>
        <v>0</v>
      </c>
      <c r="N39" s="218"/>
      <c r="O39" s="217"/>
      <c r="P39" s="203" t="b">
        <f>(IF(C39="W",('Project Wide Estimates'!$D$12+'Project Wide Estimates'!$E$12)*'Project Wide Estimates'!$E$31,(IF(C39="N",('Project Wide Estimates'!$D$13+'Project Wide Estimates'!$E$13)*'Project Wide Estimates'!$E$31,(IF('Individual Parcel Estimate'!C39="I",('Project Wide Estimates'!$D$14+'Project Wide Estimates'!$E$14)*'Project Wide Estimates'!$E$31,(IF('Individual Parcel Estimate'!C39="II",('Project Wide Estimates'!$D$15+'Project Wide Estimates'!$E$15)*'Project Wide Estimates'!$E$31,(IF('Individual Parcel Estimate'!C39="M",('Project Wide Estimates'!$D$16+'Project Wide Estimates'!$E$16)*'Project Wide Estimates'!$E$31,(IF('Individual Parcel Estimate'!C39="MI",('Project Wide Estimates'!$D$17+'Project Wide Estimates'!$E$17)*'Project Wide Estimates'!$E$31,(IF('Individual Parcel Estimate'!C39="C",('Project Wide Estimates'!$D$18+'Project Wide Estimates'!$E$18)*'Project Wide Estimates'!$E$31,(IF('Individual Parcel Estimate'!C39="CI",('Project Wide Estimates'!$D$19+'Project Wide Estimates'!$E$19)*'Project Wide Estimates'!$E$31))))))))))))))))</f>
        <v>0</v>
      </c>
      <c r="Q39" s="318"/>
      <c r="R39" s="116"/>
      <c r="S39" s="203" t="b">
        <f>(IF(U39="Agricultural 1",R39*'Project Wide Estimates'!$Q$15,(IF('Individual Parcel Estimate'!U39="Agricultural 2",'Individual Parcel Estimate'!R39*'Project Wide Estimates'!$Q$16,(IF('Individual Parcel Estimate'!U39="Residential 1",'Individual Parcel Estimate'!R39*'Project Wide Estimates'!$Q$17,(IF('Individual Parcel Estimate'!U39="Residential 2",'Individual Parcel Estimate'!R39*'Project Wide Estimates'!$Q$18,(IF('Individual Parcel Estimate'!U39="Commercial 1",'Individual Parcel Estimate'!R39*'Project Wide Estimates'!$Q$19,(IF('Individual Parcel Estimate'!U39="Commercial 2",'Individual Parcel Estimate'!R39*'Project Wide Estimates'!$Q$20,(IF('Individual Parcel Estimate'!U39="Industrial 1",'Individual Parcel Estimate'!R39*'Project Wide Estimates'!$Q$21,(IF('Individual Parcel Estimate'!U39="Industrial 2",'Individual Parcel Estimate'!R39*'Project Wide Estimates'!$Q$22,(IF('Individual Parcel Estimate'!U39="Other 1",'Individual Parcel Estimate'!R39*'Project Wide Estimates'!$Q$23,(IF('Individual Parcel Estimate'!U39="Other 2",'Individual Parcel Estimate'!R39*'Project Wide Estimates'!$Q$24))))))))))))))))))))</f>
        <v>0</v>
      </c>
      <c r="T39" s="231"/>
      <c r="U39" s="116"/>
      <c r="V39" s="116"/>
      <c r="W39" s="224"/>
      <c r="X39" s="116"/>
      <c r="Y39" s="203" t="b">
        <f>(IF(U39="Agricultural 1",X39*('Project Wide Estimates'!$Q$15*0.1),(IF('Individual Parcel Estimate'!U39="Agricultural 2",'Individual Parcel Estimate'!X39*('Project Wide Estimates'!$Q$16*0.1),(IF('Individual Parcel Estimate'!U39="Residential 1",'Individual Parcel Estimate'!X39*('Project Wide Estimates'!$Q$17*0.1),(IF('Individual Parcel Estimate'!U39="Residential 2",'Individual Parcel Estimate'!X39*('Project Wide Estimates'!$Q$18*0.1),(IF('Individual Parcel Estimate'!U39="Commercial 1",'Individual Parcel Estimate'!X39*('Project Wide Estimates'!$Q$19*0.1),(IF('Individual Parcel Estimate'!U39="Commercial 2",'Individual Parcel Estimate'!X39*('Project Wide Estimates'!$Q$20*0.1),(IF('Individual Parcel Estimate'!U39="Industrial 1",'Individual Parcel Estimate'!X39*('Project Wide Estimates'!$Q$21*0.1),(IF('Individual Parcel Estimate'!U39="Industrial 2",'Individual Parcel Estimate'!X39*('Project Wide Estimates'!$Q$22*0.1),(IF('Individual Parcel Estimate'!U39="Other 1",'Individual Parcel Estimate'!X39*('Project Wide Estimates'!$Q$23*0.1),(IF('Individual Parcel Estimate'!U39="Other 2",'Individual Parcel Estimate'!X39*('Project Wide Estimates'!$Q$24*0.1)))))))))))))))))))))</f>
        <v>0</v>
      </c>
      <c r="Z39" s="203" t="b">
        <f>(IF(U39="Agricultural 1",'Project Wide Estimates'!$Q$15*'Individual Parcel Estimate'!R39, (IF('Individual Parcel Estimate'!U39="Agricultural 2", 'Project Wide Estimates'!$Q$16*'Individual Parcel Estimate'!R39, (IF('Individual Parcel Estimate'!U39="Residential 1", 'Project Wide Estimates'!$Q$17*'Individual Parcel Estimate'!R39, (IF('Individual Parcel Estimate'!U39="Residential 2",'Project Wide Estimates'!$Q$18*'Individual Parcel Estimate'!R39, (IF('Individual Parcel Estimate'!U39="Commercial 1",'Project Wide Estimates'!$Q$19*'Individual Parcel Estimate'!R39, (IF('Individual Parcel Estimate'!U39="Commercial 2", 'Project Wide Estimates'!$Q$20*'Individual Parcel Estimate'!R39, (IF('Individual Parcel Estimate'!U39="Industrial 1", 'Project Wide Estimates'!$Q$21*'Individual Parcel Estimate'!R39, (IF('Individual Parcel Estimate'!U39="Industrial 2", 'Project Wide Estimates'!$Q$22*'Individual Parcel Estimate'!R39, (IF('Individual Parcel Estimate'!U39="Other 1", 'Project Wide Estimates'!$Q$23*'Individual Parcel Estimate'!R39, (IF('Individual Parcel Estimate'!U39="Other 2", 'Project Wide Estimates'!$Q$24*'Individual Parcel Estimate'!R39))))))))))))))))))))</f>
        <v>0</v>
      </c>
      <c r="AA39" s="222">
        <f t="shared" si="4"/>
        <v>0</v>
      </c>
      <c r="AB39" s="203" t="b">
        <f t="shared" si="6"/>
        <v>0</v>
      </c>
      <c r="AC39" s="218"/>
      <c r="AD39" s="218"/>
      <c r="AE39" s="219"/>
      <c r="AF39" s="217"/>
      <c r="AG39" s="217"/>
      <c r="AH39" s="217"/>
      <c r="AI39" s="217"/>
      <c r="AJ39" s="217"/>
      <c r="AK39" s="203">
        <f t="shared" si="7"/>
        <v>0</v>
      </c>
      <c r="AL39" s="203">
        <f t="shared" si="8"/>
        <v>0</v>
      </c>
      <c r="AM39" s="117"/>
      <c r="AN39" s="117"/>
      <c r="AO39" s="117"/>
      <c r="AP39" s="259">
        <f t="shared" si="5"/>
        <v>0</v>
      </c>
      <c r="AQ39" s="117"/>
    </row>
    <row r="40" spans="1:43">
      <c r="A40" s="114"/>
      <c r="B40" s="115"/>
      <c r="C40" s="116"/>
      <c r="D40" s="116"/>
      <c r="E40" s="116"/>
      <c r="F40" s="116"/>
      <c r="G40" s="203" t="b">
        <f>(IF(F40="Consultant", "enter manually", (IF(C40="W", 'Project Wide Estimates'!$H$12*'Project Wide Estimates'!$E$31, (IF(C40="N", ('Project Wide Estimates'!$H$13+'Project Wide Estimates'!$F$13)*'Project Wide Estimates'!$E$31, (IF('Individual Parcel Estimate'!C40="I", ('Project Wide Estimates'!$H$14+'Project Wide Estimates'!$F$14)*'Project Wide Estimates'!$E$31, (IF('Individual Parcel Estimate'!C40="II", ('Project Wide Estimates'!$H$15+'Project Wide Estimates'!$F$15)*'Project Wide Estimates'!$E$31, (IF('Individual Parcel Estimate'!C40="M", ('Project Wide Estimates'!$H$16+'Project Wide Estimates'!$F$16)*'Project Wide Estimates'!$E$31, (IF('Individual Parcel Estimate'!C40="MI", ('Project Wide Estimates'!$H$17+'Project Wide Estimates'!$F$17)*'Project Wide Estimates'!$E$31, (IF('Individual Parcel Estimate'!C40="C", ('Project Wide Estimates'!$H$18+'Project Wide Estimates'!$F$18)*'Project Wide Estimates'!$E$31, (IF('Individual Parcel Estimate'!C40="CI", ('Project Wide Estimates'!$H$19+'Project Wide Estimates'!$F$19)*'Project Wide Estimates'!$E$31))))))))))))))))))</f>
        <v>0</v>
      </c>
      <c r="H40" s="116"/>
      <c r="I40" s="203" t="b">
        <f>(IF(H40="Consultant","enter manually",(IF(C40="W",('Project Wide Estimates'!$G$12+'Project Wide Estimates'!$I$12+'Project Wide Estimates'!$F$12)*'Project Wide Estimates'!$E$31,(IF(C40="N",('Project Wide Estimates'!$G$13+'Project Wide Estimates'!$I$13)*'Project Wide Estimates'!$E$31,(IF('Individual Parcel Estimate'!C40="I",'Project Wide Estimates'!$I$14*'Project Wide Estimates'!$E$31,(IF('Individual Parcel Estimate'!C40="II",'Project Wide Estimates'!$I$15*'Project Wide Estimates'!$E$31,(IF('Individual Parcel Estimate'!C40="M",'Project Wide Estimates'!$I$16*'Project Wide Estimates'!$E$31,(IF('Individual Parcel Estimate'!C40="MI",'Project Wide Estimates'!$I$17*'Project Wide Estimates'!$E$31,(IF('Individual Parcel Estimate'!C40="C",'Project Wide Estimates'!$I$18*'Project Wide Estimates'!$E$31,(IF('Individual Parcel Estimate'!C40="CI",'Project Wide Estimates'!$I$19*'Project Wide Estimates'!$E$31))))))))))))))))))</f>
        <v>0</v>
      </c>
      <c r="J40" s="116"/>
      <c r="K40" s="203" t="b">
        <f>(IF(J40="Consultant","enter manually",(IF(C40="W","na",(IF(C40="N","na",(IF(C40="I","na",(IF(C40="II",'Project Wide Estimates'!$J$15*'Project Wide Estimates'!$E$31,(IF('Individual Parcel Estimate'!C40="M","na",(IF('Individual Parcel Estimate'!C40="MI",'Project Wide Estimates'!$J$17*'Project Wide Estimates'!$E$31,(IF('Individual Parcel Estimate'!C40="C","na",(IF('Individual Parcel Estimate'!C40="CI",'Project Wide Estimates'!$J$19*'Project Wide Estimates'!$E$31))))))))))))))))))</f>
        <v>0</v>
      </c>
      <c r="L40" s="116"/>
      <c r="M40" s="203" t="b">
        <f>(IF(L40="Consultant","enter manually",(IF(C40="W","na",(IF(C40="N","na",(IF(C40="I","na",(IF(C40="II",'Project Wide Estimates'!$K$15*'Project Wide Estimates'!$E$31,(IF('Individual Parcel Estimate'!C40="M","na",(IF('Individual Parcel Estimate'!C40="MI",'Project Wide Estimates'!$K$17*'Project Wide Estimates'!$E$31,(IF('Individual Parcel Estimate'!C40="C","na",(IF('Individual Parcel Estimate'!C40="CI",'Project Wide Estimates'!$K$19*'Project Wide Estimates'!$E$31))))))))))))))))))</f>
        <v>0</v>
      </c>
      <c r="N40" s="218"/>
      <c r="O40" s="217"/>
      <c r="P40" s="203" t="b">
        <f>(IF(C40="W",('Project Wide Estimates'!$D$12+'Project Wide Estimates'!$E$12)*'Project Wide Estimates'!$E$31,(IF(C40="N",('Project Wide Estimates'!$D$13+'Project Wide Estimates'!$E$13)*'Project Wide Estimates'!$E$31,(IF('Individual Parcel Estimate'!C40="I",('Project Wide Estimates'!$D$14+'Project Wide Estimates'!$E$14)*'Project Wide Estimates'!$E$31,(IF('Individual Parcel Estimate'!C40="II",('Project Wide Estimates'!$D$15+'Project Wide Estimates'!$E$15)*'Project Wide Estimates'!$E$31,(IF('Individual Parcel Estimate'!C40="M",('Project Wide Estimates'!$D$16+'Project Wide Estimates'!$E$16)*'Project Wide Estimates'!$E$31,(IF('Individual Parcel Estimate'!C40="MI",('Project Wide Estimates'!$D$17+'Project Wide Estimates'!$E$17)*'Project Wide Estimates'!$E$31,(IF('Individual Parcel Estimate'!C40="C",('Project Wide Estimates'!$D$18+'Project Wide Estimates'!$E$18)*'Project Wide Estimates'!$E$31,(IF('Individual Parcel Estimate'!C40="CI",('Project Wide Estimates'!$D$19+'Project Wide Estimates'!$E$19)*'Project Wide Estimates'!$E$31))))))))))))))))</f>
        <v>0</v>
      </c>
      <c r="Q40" s="318"/>
      <c r="R40" s="116"/>
      <c r="S40" s="203" t="b">
        <f>(IF(U40="Agricultural 1",R40*'Project Wide Estimates'!$Q$15,(IF('Individual Parcel Estimate'!U40="Agricultural 2",'Individual Parcel Estimate'!R40*'Project Wide Estimates'!$Q$16,(IF('Individual Parcel Estimate'!U40="Residential 1",'Individual Parcel Estimate'!R40*'Project Wide Estimates'!$Q$17,(IF('Individual Parcel Estimate'!U40="Residential 2",'Individual Parcel Estimate'!R40*'Project Wide Estimates'!$Q$18,(IF('Individual Parcel Estimate'!U40="Commercial 1",'Individual Parcel Estimate'!R40*'Project Wide Estimates'!$Q$19,(IF('Individual Parcel Estimate'!U40="Commercial 2",'Individual Parcel Estimate'!R40*'Project Wide Estimates'!$Q$20,(IF('Individual Parcel Estimate'!U40="Industrial 1",'Individual Parcel Estimate'!R40*'Project Wide Estimates'!$Q$21,(IF('Individual Parcel Estimate'!U40="Industrial 2",'Individual Parcel Estimate'!R40*'Project Wide Estimates'!$Q$22,(IF('Individual Parcel Estimate'!U40="Other 1",'Individual Parcel Estimate'!R40*'Project Wide Estimates'!$Q$23,(IF('Individual Parcel Estimate'!U40="Other 2",'Individual Parcel Estimate'!R40*'Project Wide Estimates'!$Q$24))))))))))))))))))))</f>
        <v>0</v>
      </c>
      <c r="T40" s="231"/>
      <c r="U40" s="116"/>
      <c r="V40" s="116"/>
      <c r="W40" s="224"/>
      <c r="X40" s="116"/>
      <c r="Y40" s="203" t="b">
        <f>(IF(U40="Agricultural 1",X40*('Project Wide Estimates'!$Q$15*0.1),(IF('Individual Parcel Estimate'!U40="Agricultural 2",'Individual Parcel Estimate'!X40*('Project Wide Estimates'!$Q$16*0.1),(IF('Individual Parcel Estimate'!U40="Residential 1",'Individual Parcel Estimate'!X40*('Project Wide Estimates'!$Q$17*0.1),(IF('Individual Parcel Estimate'!U40="Residential 2",'Individual Parcel Estimate'!X40*('Project Wide Estimates'!$Q$18*0.1),(IF('Individual Parcel Estimate'!U40="Commercial 1",'Individual Parcel Estimate'!X40*('Project Wide Estimates'!$Q$19*0.1),(IF('Individual Parcel Estimate'!U40="Commercial 2",'Individual Parcel Estimate'!X40*('Project Wide Estimates'!$Q$20*0.1),(IF('Individual Parcel Estimate'!U40="Industrial 1",'Individual Parcel Estimate'!X40*('Project Wide Estimates'!$Q$21*0.1),(IF('Individual Parcel Estimate'!U40="Industrial 2",'Individual Parcel Estimate'!X40*('Project Wide Estimates'!$Q$22*0.1),(IF('Individual Parcel Estimate'!U40="Other 1",'Individual Parcel Estimate'!X40*('Project Wide Estimates'!$Q$23*0.1),(IF('Individual Parcel Estimate'!U40="Other 2",'Individual Parcel Estimate'!X40*('Project Wide Estimates'!$Q$24*0.1)))))))))))))))))))))</f>
        <v>0</v>
      </c>
      <c r="Z40" s="203" t="b">
        <f>(IF(U40="Agricultural 1",'Project Wide Estimates'!$Q$15*'Individual Parcel Estimate'!R40, (IF('Individual Parcel Estimate'!U40="Agricultural 2", 'Project Wide Estimates'!$Q$16*'Individual Parcel Estimate'!R40, (IF('Individual Parcel Estimate'!U40="Residential 1", 'Project Wide Estimates'!$Q$17*'Individual Parcel Estimate'!R40, (IF('Individual Parcel Estimate'!U40="Residential 2",'Project Wide Estimates'!$Q$18*'Individual Parcel Estimate'!R40, (IF('Individual Parcel Estimate'!U40="Commercial 1",'Project Wide Estimates'!$Q$19*'Individual Parcel Estimate'!R40, (IF('Individual Parcel Estimate'!U40="Commercial 2", 'Project Wide Estimates'!$Q$20*'Individual Parcel Estimate'!R40, (IF('Individual Parcel Estimate'!U40="Industrial 1", 'Project Wide Estimates'!$Q$21*'Individual Parcel Estimate'!R40, (IF('Individual Parcel Estimate'!U40="Industrial 2", 'Project Wide Estimates'!$Q$22*'Individual Parcel Estimate'!R40, (IF('Individual Parcel Estimate'!U40="Other 1", 'Project Wide Estimates'!$Q$23*'Individual Parcel Estimate'!R40, (IF('Individual Parcel Estimate'!U40="Other 2", 'Project Wide Estimates'!$Q$24*'Individual Parcel Estimate'!R40))))))))))))))))))))</f>
        <v>0</v>
      </c>
      <c r="AA40" s="222">
        <f t="shared" si="4"/>
        <v>0</v>
      </c>
      <c r="AB40" s="203" t="b">
        <f t="shared" si="6"/>
        <v>0</v>
      </c>
      <c r="AC40" s="218"/>
      <c r="AD40" s="218"/>
      <c r="AE40" s="219"/>
      <c r="AF40" s="217"/>
      <c r="AG40" s="217"/>
      <c r="AH40" s="217"/>
      <c r="AI40" s="217"/>
      <c r="AJ40" s="217"/>
      <c r="AK40" s="203">
        <f t="shared" si="7"/>
        <v>0</v>
      </c>
      <c r="AL40" s="203">
        <f t="shared" si="8"/>
        <v>0</v>
      </c>
      <c r="AM40" s="117"/>
      <c r="AN40" s="117"/>
      <c r="AO40" s="117"/>
      <c r="AP40" s="259">
        <f t="shared" si="5"/>
        <v>0</v>
      </c>
      <c r="AQ40" s="117"/>
    </row>
    <row r="41" spans="1:43">
      <c r="A41" s="114"/>
      <c r="B41" s="115"/>
      <c r="C41" s="116"/>
      <c r="D41" s="116"/>
      <c r="E41" s="116"/>
      <c r="F41" s="116"/>
      <c r="G41" s="203" t="b">
        <f>(IF(F41="Consultant", "enter manually", (IF(C41="W", 'Project Wide Estimates'!$H$12*'Project Wide Estimates'!$E$31, (IF(C41="N", ('Project Wide Estimates'!$H$13+'Project Wide Estimates'!$F$13)*'Project Wide Estimates'!$E$31, (IF('Individual Parcel Estimate'!C41="I", ('Project Wide Estimates'!$H$14+'Project Wide Estimates'!$F$14)*'Project Wide Estimates'!$E$31, (IF('Individual Parcel Estimate'!C41="II", ('Project Wide Estimates'!$H$15+'Project Wide Estimates'!$F$15)*'Project Wide Estimates'!$E$31, (IF('Individual Parcel Estimate'!C41="M", ('Project Wide Estimates'!$H$16+'Project Wide Estimates'!$F$16)*'Project Wide Estimates'!$E$31, (IF('Individual Parcel Estimate'!C41="MI", ('Project Wide Estimates'!$H$17+'Project Wide Estimates'!$F$17)*'Project Wide Estimates'!$E$31, (IF('Individual Parcel Estimate'!C41="C", ('Project Wide Estimates'!$H$18+'Project Wide Estimates'!$F$18)*'Project Wide Estimates'!$E$31, (IF('Individual Parcel Estimate'!C41="CI", ('Project Wide Estimates'!$H$19+'Project Wide Estimates'!$F$19)*'Project Wide Estimates'!$E$31))))))))))))))))))</f>
        <v>0</v>
      </c>
      <c r="H41" s="116"/>
      <c r="I41" s="203" t="b">
        <f>(IF(H41="Consultant","enter manually",(IF(C41="W",('Project Wide Estimates'!$G$12+'Project Wide Estimates'!$I$12+'Project Wide Estimates'!$F$12)*'Project Wide Estimates'!$E$31,(IF(C41="N",('Project Wide Estimates'!$G$13+'Project Wide Estimates'!$I$13)*'Project Wide Estimates'!$E$31,(IF('Individual Parcel Estimate'!C41="I",'Project Wide Estimates'!$I$14*'Project Wide Estimates'!$E$31,(IF('Individual Parcel Estimate'!C41="II",'Project Wide Estimates'!$I$15*'Project Wide Estimates'!$E$31,(IF('Individual Parcel Estimate'!C41="M",'Project Wide Estimates'!$I$16*'Project Wide Estimates'!$E$31,(IF('Individual Parcel Estimate'!C41="MI",'Project Wide Estimates'!$I$17*'Project Wide Estimates'!$E$31,(IF('Individual Parcel Estimate'!C41="C",'Project Wide Estimates'!$I$18*'Project Wide Estimates'!$E$31,(IF('Individual Parcel Estimate'!C41="CI",'Project Wide Estimates'!$I$19*'Project Wide Estimates'!$E$31))))))))))))))))))</f>
        <v>0</v>
      </c>
      <c r="J41" s="116"/>
      <c r="K41" s="203" t="b">
        <f>(IF(J41="Consultant","enter manually",(IF(C41="W","na",(IF(C41="N","na",(IF(C41="I","na",(IF(C41="II",'Project Wide Estimates'!$J$15*'Project Wide Estimates'!$E$31,(IF('Individual Parcel Estimate'!C41="M","na",(IF('Individual Parcel Estimate'!C41="MI",'Project Wide Estimates'!$J$17*'Project Wide Estimates'!$E$31,(IF('Individual Parcel Estimate'!C41="C","na",(IF('Individual Parcel Estimate'!C41="CI",'Project Wide Estimates'!$J$19*'Project Wide Estimates'!$E$31))))))))))))))))))</f>
        <v>0</v>
      </c>
      <c r="L41" s="116"/>
      <c r="M41" s="203" t="b">
        <f>(IF(L41="Consultant","enter manually",(IF(C41="W","na",(IF(C41="N","na",(IF(C41="I","na",(IF(C41="II",'Project Wide Estimates'!$K$15*'Project Wide Estimates'!$E$31,(IF('Individual Parcel Estimate'!C41="M","na",(IF('Individual Parcel Estimate'!C41="MI",'Project Wide Estimates'!$K$17*'Project Wide Estimates'!$E$31,(IF('Individual Parcel Estimate'!C41="C","na",(IF('Individual Parcel Estimate'!C41="CI",'Project Wide Estimates'!$K$19*'Project Wide Estimates'!$E$31))))))))))))))))))</f>
        <v>0</v>
      </c>
      <c r="N41" s="218"/>
      <c r="O41" s="217"/>
      <c r="P41" s="203" t="b">
        <f>(IF(C41="W",('Project Wide Estimates'!$D$12+'Project Wide Estimates'!$E$12)*'Project Wide Estimates'!$E$31,(IF(C41="N",('Project Wide Estimates'!$D$13+'Project Wide Estimates'!$E$13)*'Project Wide Estimates'!$E$31,(IF('Individual Parcel Estimate'!C41="I",('Project Wide Estimates'!$D$14+'Project Wide Estimates'!$E$14)*'Project Wide Estimates'!$E$31,(IF('Individual Parcel Estimate'!C41="II",('Project Wide Estimates'!$D$15+'Project Wide Estimates'!$E$15)*'Project Wide Estimates'!$E$31,(IF('Individual Parcel Estimate'!C41="M",('Project Wide Estimates'!$D$16+'Project Wide Estimates'!$E$16)*'Project Wide Estimates'!$E$31,(IF('Individual Parcel Estimate'!C41="MI",('Project Wide Estimates'!$D$17+'Project Wide Estimates'!$E$17)*'Project Wide Estimates'!$E$31,(IF('Individual Parcel Estimate'!C41="C",('Project Wide Estimates'!$D$18+'Project Wide Estimates'!$E$18)*'Project Wide Estimates'!$E$31,(IF('Individual Parcel Estimate'!C41="CI",('Project Wide Estimates'!$D$19+'Project Wide Estimates'!$E$19)*'Project Wide Estimates'!$E$31))))))))))))))))</f>
        <v>0</v>
      </c>
      <c r="Q41" s="318"/>
      <c r="R41" s="116"/>
      <c r="S41" s="203" t="b">
        <f>(IF(U41="Agricultural 1",R41*'Project Wide Estimates'!$Q$15,(IF('Individual Parcel Estimate'!U41="Agricultural 2",'Individual Parcel Estimate'!R41*'Project Wide Estimates'!$Q$16,(IF('Individual Parcel Estimate'!U41="Residential 1",'Individual Parcel Estimate'!R41*'Project Wide Estimates'!$Q$17,(IF('Individual Parcel Estimate'!U41="Residential 2",'Individual Parcel Estimate'!R41*'Project Wide Estimates'!$Q$18,(IF('Individual Parcel Estimate'!U41="Commercial 1",'Individual Parcel Estimate'!R41*'Project Wide Estimates'!$Q$19,(IF('Individual Parcel Estimate'!U41="Commercial 2",'Individual Parcel Estimate'!R41*'Project Wide Estimates'!$Q$20,(IF('Individual Parcel Estimate'!U41="Industrial 1",'Individual Parcel Estimate'!R41*'Project Wide Estimates'!$Q$21,(IF('Individual Parcel Estimate'!U41="Industrial 2",'Individual Parcel Estimate'!R41*'Project Wide Estimates'!$Q$22,(IF('Individual Parcel Estimate'!U41="Other 1",'Individual Parcel Estimate'!R41*'Project Wide Estimates'!$Q$23,(IF('Individual Parcel Estimate'!U41="Other 2",'Individual Parcel Estimate'!R41*'Project Wide Estimates'!$Q$24))))))))))))))))))))</f>
        <v>0</v>
      </c>
      <c r="T41" s="231"/>
      <c r="U41" s="116"/>
      <c r="V41" s="116"/>
      <c r="W41" s="224"/>
      <c r="X41" s="116"/>
      <c r="Y41" s="203" t="b">
        <f>(IF(U41="Agricultural 1",X41*('Project Wide Estimates'!$Q$15*0.1),(IF('Individual Parcel Estimate'!U41="Agricultural 2",'Individual Parcel Estimate'!X41*('Project Wide Estimates'!$Q$16*0.1),(IF('Individual Parcel Estimate'!U41="Residential 1",'Individual Parcel Estimate'!X41*('Project Wide Estimates'!$Q$17*0.1),(IF('Individual Parcel Estimate'!U41="Residential 2",'Individual Parcel Estimate'!X41*('Project Wide Estimates'!$Q$18*0.1),(IF('Individual Parcel Estimate'!U41="Commercial 1",'Individual Parcel Estimate'!X41*('Project Wide Estimates'!$Q$19*0.1),(IF('Individual Parcel Estimate'!U41="Commercial 2",'Individual Parcel Estimate'!X41*('Project Wide Estimates'!$Q$20*0.1),(IF('Individual Parcel Estimate'!U41="Industrial 1",'Individual Parcel Estimate'!X41*('Project Wide Estimates'!$Q$21*0.1),(IF('Individual Parcel Estimate'!U41="Industrial 2",'Individual Parcel Estimate'!X41*('Project Wide Estimates'!$Q$22*0.1),(IF('Individual Parcel Estimate'!U41="Other 1",'Individual Parcel Estimate'!X41*('Project Wide Estimates'!$Q$23*0.1),(IF('Individual Parcel Estimate'!U41="Other 2",'Individual Parcel Estimate'!X41*('Project Wide Estimates'!$Q$24*0.1)))))))))))))))))))))</f>
        <v>0</v>
      </c>
      <c r="Z41" s="203" t="b">
        <f>(IF(U41="Agricultural 1",'Project Wide Estimates'!$Q$15*'Individual Parcel Estimate'!R41, (IF('Individual Parcel Estimate'!U41="Agricultural 2", 'Project Wide Estimates'!$Q$16*'Individual Parcel Estimate'!R41, (IF('Individual Parcel Estimate'!U41="Residential 1", 'Project Wide Estimates'!$Q$17*'Individual Parcel Estimate'!R41, (IF('Individual Parcel Estimate'!U41="Residential 2",'Project Wide Estimates'!$Q$18*'Individual Parcel Estimate'!R41, (IF('Individual Parcel Estimate'!U41="Commercial 1",'Project Wide Estimates'!$Q$19*'Individual Parcel Estimate'!R41, (IF('Individual Parcel Estimate'!U41="Commercial 2", 'Project Wide Estimates'!$Q$20*'Individual Parcel Estimate'!R41, (IF('Individual Parcel Estimate'!U41="Industrial 1", 'Project Wide Estimates'!$Q$21*'Individual Parcel Estimate'!R41, (IF('Individual Parcel Estimate'!U41="Industrial 2", 'Project Wide Estimates'!$Q$22*'Individual Parcel Estimate'!R41, (IF('Individual Parcel Estimate'!U41="Other 1", 'Project Wide Estimates'!$Q$23*'Individual Parcel Estimate'!R41, (IF('Individual Parcel Estimate'!U41="Other 2", 'Project Wide Estimates'!$Q$24*'Individual Parcel Estimate'!R41))))))))))))))))))))</f>
        <v>0</v>
      </c>
      <c r="AA41" s="222">
        <f t="shared" si="4"/>
        <v>0</v>
      </c>
      <c r="AB41" s="203" t="b">
        <f t="shared" si="6"/>
        <v>0</v>
      </c>
      <c r="AC41" s="218"/>
      <c r="AD41" s="218"/>
      <c r="AE41" s="219"/>
      <c r="AF41" s="217"/>
      <c r="AG41" s="217"/>
      <c r="AH41" s="217"/>
      <c r="AI41" s="217"/>
      <c r="AJ41" s="217"/>
      <c r="AK41" s="203">
        <f t="shared" si="7"/>
        <v>0</v>
      </c>
      <c r="AL41" s="203">
        <f t="shared" si="8"/>
        <v>0</v>
      </c>
      <c r="AM41" s="117"/>
      <c r="AN41" s="117"/>
      <c r="AO41" s="117"/>
      <c r="AP41" s="259">
        <f t="shared" si="5"/>
        <v>0</v>
      </c>
      <c r="AQ41" s="117"/>
    </row>
    <row r="42" spans="1:43">
      <c r="A42" s="114"/>
      <c r="B42" s="115"/>
      <c r="C42" s="116"/>
      <c r="D42" s="116"/>
      <c r="E42" s="116"/>
      <c r="F42" s="116"/>
      <c r="G42" s="203" t="b">
        <f>(IF(F42="Consultant", "enter manually", (IF(C42="W", 'Project Wide Estimates'!$H$12*'Project Wide Estimates'!$E$31, (IF(C42="N", ('Project Wide Estimates'!$H$13+'Project Wide Estimates'!$F$13)*'Project Wide Estimates'!$E$31, (IF('Individual Parcel Estimate'!C42="I", ('Project Wide Estimates'!$H$14+'Project Wide Estimates'!$F$14)*'Project Wide Estimates'!$E$31, (IF('Individual Parcel Estimate'!C42="II", ('Project Wide Estimates'!$H$15+'Project Wide Estimates'!$F$15)*'Project Wide Estimates'!$E$31, (IF('Individual Parcel Estimate'!C42="M", ('Project Wide Estimates'!$H$16+'Project Wide Estimates'!$F$16)*'Project Wide Estimates'!$E$31, (IF('Individual Parcel Estimate'!C42="MI", ('Project Wide Estimates'!$H$17+'Project Wide Estimates'!$F$17)*'Project Wide Estimates'!$E$31, (IF('Individual Parcel Estimate'!C42="C", ('Project Wide Estimates'!$H$18+'Project Wide Estimates'!$F$18)*'Project Wide Estimates'!$E$31, (IF('Individual Parcel Estimate'!C42="CI", ('Project Wide Estimates'!$H$19+'Project Wide Estimates'!$F$19)*'Project Wide Estimates'!$E$31))))))))))))))))))</f>
        <v>0</v>
      </c>
      <c r="H42" s="116"/>
      <c r="I42" s="203" t="b">
        <f>(IF(H42="Consultant","enter manually",(IF(C42="W",('Project Wide Estimates'!$G$12+'Project Wide Estimates'!$I$12+'Project Wide Estimates'!$F$12)*'Project Wide Estimates'!$E$31,(IF(C42="N",('Project Wide Estimates'!$G$13+'Project Wide Estimates'!$I$13)*'Project Wide Estimates'!$E$31,(IF('Individual Parcel Estimate'!C42="I",'Project Wide Estimates'!$I$14*'Project Wide Estimates'!$E$31,(IF('Individual Parcel Estimate'!C42="II",'Project Wide Estimates'!$I$15*'Project Wide Estimates'!$E$31,(IF('Individual Parcel Estimate'!C42="M",'Project Wide Estimates'!$I$16*'Project Wide Estimates'!$E$31,(IF('Individual Parcel Estimate'!C42="MI",'Project Wide Estimates'!$I$17*'Project Wide Estimates'!$E$31,(IF('Individual Parcel Estimate'!C42="C",'Project Wide Estimates'!$I$18*'Project Wide Estimates'!$E$31,(IF('Individual Parcel Estimate'!C42="CI",'Project Wide Estimates'!$I$19*'Project Wide Estimates'!$E$31))))))))))))))))))</f>
        <v>0</v>
      </c>
      <c r="J42" s="116"/>
      <c r="K42" s="203" t="b">
        <f>(IF(J42="Consultant","enter manually",(IF(C42="W","na",(IF(C42="N","na",(IF(C42="I","na",(IF(C42="II",'Project Wide Estimates'!$J$15*'Project Wide Estimates'!$E$31,(IF('Individual Parcel Estimate'!C42="M","na",(IF('Individual Parcel Estimate'!C42="MI",'Project Wide Estimates'!$J$17*'Project Wide Estimates'!$E$31,(IF('Individual Parcel Estimate'!C42="C","na",(IF('Individual Parcel Estimate'!C42="CI",'Project Wide Estimates'!$J$19*'Project Wide Estimates'!$E$31))))))))))))))))))</f>
        <v>0</v>
      </c>
      <c r="L42" s="116"/>
      <c r="M42" s="203" t="b">
        <f>(IF(L42="Consultant","enter manually",(IF(C42="W","na",(IF(C42="N","na",(IF(C42="I","na",(IF(C42="II",'Project Wide Estimates'!$K$15*'Project Wide Estimates'!$E$31,(IF('Individual Parcel Estimate'!C42="M","na",(IF('Individual Parcel Estimate'!C42="MI",'Project Wide Estimates'!$K$17*'Project Wide Estimates'!$E$31,(IF('Individual Parcel Estimate'!C42="C","na",(IF('Individual Parcel Estimate'!C42="CI",'Project Wide Estimates'!$K$19*'Project Wide Estimates'!$E$31))))))))))))))))))</f>
        <v>0</v>
      </c>
      <c r="N42" s="218"/>
      <c r="O42" s="217"/>
      <c r="P42" s="203" t="b">
        <f>(IF(C42="W",('Project Wide Estimates'!$D$12+'Project Wide Estimates'!$E$12)*'Project Wide Estimates'!$E$31,(IF(C42="N",('Project Wide Estimates'!$D$13+'Project Wide Estimates'!$E$13)*'Project Wide Estimates'!$E$31,(IF('Individual Parcel Estimate'!C42="I",('Project Wide Estimates'!$D$14+'Project Wide Estimates'!$E$14)*'Project Wide Estimates'!$E$31,(IF('Individual Parcel Estimate'!C42="II",('Project Wide Estimates'!$D$15+'Project Wide Estimates'!$E$15)*'Project Wide Estimates'!$E$31,(IF('Individual Parcel Estimate'!C42="M",('Project Wide Estimates'!$D$16+'Project Wide Estimates'!$E$16)*'Project Wide Estimates'!$E$31,(IF('Individual Parcel Estimate'!C42="MI",('Project Wide Estimates'!$D$17+'Project Wide Estimates'!$E$17)*'Project Wide Estimates'!$E$31,(IF('Individual Parcel Estimate'!C42="C",('Project Wide Estimates'!$D$18+'Project Wide Estimates'!$E$18)*'Project Wide Estimates'!$E$31,(IF('Individual Parcel Estimate'!C42="CI",('Project Wide Estimates'!$D$19+'Project Wide Estimates'!$E$19)*'Project Wide Estimates'!$E$31))))))))))))))))</f>
        <v>0</v>
      </c>
      <c r="Q42" s="318"/>
      <c r="R42" s="116"/>
      <c r="S42" s="203" t="b">
        <f>(IF(U42="Agricultural 1",R42*'Project Wide Estimates'!$Q$15,(IF('Individual Parcel Estimate'!U42="Agricultural 2",'Individual Parcel Estimate'!R42*'Project Wide Estimates'!$Q$16,(IF('Individual Parcel Estimate'!U42="Residential 1",'Individual Parcel Estimate'!R42*'Project Wide Estimates'!$Q$17,(IF('Individual Parcel Estimate'!U42="Residential 2",'Individual Parcel Estimate'!R42*'Project Wide Estimates'!$Q$18,(IF('Individual Parcel Estimate'!U42="Commercial 1",'Individual Parcel Estimate'!R42*'Project Wide Estimates'!$Q$19,(IF('Individual Parcel Estimate'!U42="Commercial 2",'Individual Parcel Estimate'!R42*'Project Wide Estimates'!$Q$20,(IF('Individual Parcel Estimate'!U42="Industrial 1",'Individual Parcel Estimate'!R42*'Project Wide Estimates'!$Q$21,(IF('Individual Parcel Estimate'!U42="Industrial 2",'Individual Parcel Estimate'!R42*'Project Wide Estimates'!$Q$22,(IF('Individual Parcel Estimate'!U42="Other 1",'Individual Parcel Estimate'!R42*'Project Wide Estimates'!$Q$23,(IF('Individual Parcel Estimate'!U42="Other 2",'Individual Parcel Estimate'!R42*'Project Wide Estimates'!$Q$24))))))))))))))))))))</f>
        <v>0</v>
      </c>
      <c r="T42" s="231"/>
      <c r="U42" s="116"/>
      <c r="V42" s="116"/>
      <c r="W42" s="224"/>
      <c r="X42" s="116"/>
      <c r="Y42" s="203" t="b">
        <f>(IF(U42="Agricultural 1",X42*('Project Wide Estimates'!$Q$15*0.1),(IF('Individual Parcel Estimate'!U42="Agricultural 2",'Individual Parcel Estimate'!X42*('Project Wide Estimates'!$Q$16*0.1),(IF('Individual Parcel Estimate'!U42="Residential 1",'Individual Parcel Estimate'!X42*('Project Wide Estimates'!$Q$17*0.1),(IF('Individual Parcel Estimate'!U42="Residential 2",'Individual Parcel Estimate'!X42*('Project Wide Estimates'!$Q$18*0.1),(IF('Individual Parcel Estimate'!U42="Commercial 1",'Individual Parcel Estimate'!X42*('Project Wide Estimates'!$Q$19*0.1),(IF('Individual Parcel Estimate'!U42="Commercial 2",'Individual Parcel Estimate'!X42*('Project Wide Estimates'!$Q$20*0.1),(IF('Individual Parcel Estimate'!U42="Industrial 1",'Individual Parcel Estimate'!X42*('Project Wide Estimates'!$Q$21*0.1),(IF('Individual Parcel Estimate'!U42="Industrial 2",'Individual Parcel Estimate'!X42*('Project Wide Estimates'!$Q$22*0.1),(IF('Individual Parcel Estimate'!U42="Other 1",'Individual Parcel Estimate'!X42*('Project Wide Estimates'!$Q$23*0.1),(IF('Individual Parcel Estimate'!U42="Other 2",'Individual Parcel Estimate'!X42*('Project Wide Estimates'!$Q$24*0.1)))))))))))))))))))))</f>
        <v>0</v>
      </c>
      <c r="Z42" s="203" t="b">
        <f>(IF(U42="Agricultural 1",'Project Wide Estimates'!$Q$15*'Individual Parcel Estimate'!R42, (IF('Individual Parcel Estimate'!U42="Agricultural 2", 'Project Wide Estimates'!$Q$16*'Individual Parcel Estimate'!R42, (IF('Individual Parcel Estimate'!U42="Residential 1", 'Project Wide Estimates'!$Q$17*'Individual Parcel Estimate'!R42, (IF('Individual Parcel Estimate'!U42="Residential 2",'Project Wide Estimates'!$Q$18*'Individual Parcel Estimate'!R42, (IF('Individual Parcel Estimate'!U42="Commercial 1",'Project Wide Estimates'!$Q$19*'Individual Parcel Estimate'!R42, (IF('Individual Parcel Estimate'!U42="Commercial 2", 'Project Wide Estimates'!$Q$20*'Individual Parcel Estimate'!R42, (IF('Individual Parcel Estimate'!U42="Industrial 1", 'Project Wide Estimates'!$Q$21*'Individual Parcel Estimate'!R42, (IF('Individual Parcel Estimate'!U42="Industrial 2", 'Project Wide Estimates'!$Q$22*'Individual Parcel Estimate'!R42, (IF('Individual Parcel Estimate'!U42="Other 1", 'Project Wide Estimates'!$Q$23*'Individual Parcel Estimate'!R42, (IF('Individual Parcel Estimate'!U42="Other 2", 'Project Wide Estimates'!$Q$24*'Individual Parcel Estimate'!R42))))))))))))))))))))</f>
        <v>0</v>
      </c>
      <c r="AA42" s="222">
        <f t="shared" si="4"/>
        <v>0</v>
      </c>
      <c r="AB42" s="203" t="b">
        <f t="shared" si="6"/>
        <v>0</v>
      </c>
      <c r="AC42" s="218"/>
      <c r="AD42" s="218"/>
      <c r="AE42" s="219"/>
      <c r="AF42" s="217"/>
      <c r="AG42" s="217"/>
      <c r="AH42" s="217"/>
      <c r="AI42" s="217"/>
      <c r="AJ42" s="217"/>
      <c r="AK42" s="203">
        <f t="shared" si="7"/>
        <v>0</v>
      </c>
      <c r="AL42" s="203">
        <f t="shared" si="8"/>
        <v>0</v>
      </c>
      <c r="AM42" s="117"/>
      <c r="AN42" s="117"/>
      <c r="AO42" s="117"/>
      <c r="AP42" s="259">
        <f t="shared" si="5"/>
        <v>0</v>
      </c>
      <c r="AQ42" s="117"/>
    </row>
    <row r="43" spans="1:43">
      <c r="A43" s="114"/>
      <c r="B43" s="115"/>
      <c r="C43" s="116"/>
      <c r="D43" s="116"/>
      <c r="E43" s="116"/>
      <c r="F43" s="116"/>
      <c r="G43" s="203" t="b">
        <f>(IF(F43="Consultant", "enter manually", (IF(C43="W", 'Project Wide Estimates'!$H$12*'Project Wide Estimates'!$E$31, (IF(C43="N", ('Project Wide Estimates'!$H$13+'Project Wide Estimates'!$F$13)*'Project Wide Estimates'!$E$31, (IF('Individual Parcel Estimate'!C43="I", ('Project Wide Estimates'!$H$14+'Project Wide Estimates'!$F$14)*'Project Wide Estimates'!$E$31, (IF('Individual Parcel Estimate'!C43="II", ('Project Wide Estimates'!$H$15+'Project Wide Estimates'!$F$15)*'Project Wide Estimates'!$E$31, (IF('Individual Parcel Estimate'!C43="M", ('Project Wide Estimates'!$H$16+'Project Wide Estimates'!$F$16)*'Project Wide Estimates'!$E$31, (IF('Individual Parcel Estimate'!C43="MI", ('Project Wide Estimates'!$H$17+'Project Wide Estimates'!$F$17)*'Project Wide Estimates'!$E$31, (IF('Individual Parcel Estimate'!C43="C", ('Project Wide Estimates'!$H$18+'Project Wide Estimates'!$F$18)*'Project Wide Estimates'!$E$31, (IF('Individual Parcel Estimate'!C43="CI", ('Project Wide Estimates'!$H$19+'Project Wide Estimates'!$F$19)*'Project Wide Estimates'!$E$31))))))))))))))))))</f>
        <v>0</v>
      </c>
      <c r="H43" s="116"/>
      <c r="I43" s="203" t="b">
        <f>(IF(H43="Consultant","enter manually",(IF(C43="W",('Project Wide Estimates'!$G$12+'Project Wide Estimates'!$I$12+'Project Wide Estimates'!$F$12)*'Project Wide Estimates'!$E$31,(IF(C43="N",('Project Wide Estimates'!$G$13+'Project Wide Estimates'!$I$13)*'Project Wide Estimates'!$E$31,(IF('Individual Parcel Estimate'!C43="I",'Project Wide Estimates'!$I$14*'Project Wide Estimates'!$E$31,(IF('Individual Parcel Estimate'!C43="II",'Project Wide Estimates'!$I$15*'Project Wide Estimates'!$E$31,(IF('Individual Parcel Estimate'!C43="M",'Project Wide Estimates'!$I$16*'Project Wide Estimates'!$E$31,(IF('Individual Parcel Estimate'!C43="MI",'Project Wide Estimates'!$I$17*'Project Wide Estimates'!$E$31,(IF('Individual Parcel Estimate'!C43="C",'Project Wide Estimates'!$I$18*'Project Wide Estimates'!$E$31,(IF('Individual Parcel Estimate'!C43="CI",'Project Wide Estimates'!$I$19*'Project Wide Estimates'!$E$31))))))))))))))))))</f>
        <v>0</v>
      </c>
      <c r="J43" s="116"/>
      <c r="K43" s="203" t="b">
        <f>(IF(J43="Consultant","enter manually",(IF(C43="W","na",(IF(C43="N","na",(IF(C43="I","na",(IF(C43="II",'Project Wide Estimates'!$J$15*'Project Wide Estimates'!$E$31,(IF('Individual Parcel Estimate'!C43="M","na",(IF('Individual Parcel Estimate'!C43="MI",'Project Wide Estimates'!$J$17*'Project Wide Estimates'!$E$31,(IF('Individual Parcel Estimate'!C43="C","na",(IF('Individual Parcel Estimate'!C43="CI",'Project Wide Estimates'!$J$19*'Project Wide Estimates'!$E$31))))))))))))))))))</f>
        <v>0</v>
      </c>
      <c r="L43" s="116"/>
      <c r="M43" s="203" t="b">
        <f>(IF(L43="Consultant","enter manually",(IF(C43="W","na",(IF(C43="N","na",(IF(C43="I","na",(IF(C43="II",'Project Wide Estimates'!$K$15*'Project Wide Estimates'!$E$31,(IF('Individual Parcel Estimate'!C43="M","na",(IF('Individual Parcel Estimate'!C43="MI",'Project Wide Estimates'!$K$17*'Project Wide Estimates'!$E$31,(IF('Individual Parcel Estimate'!C43="C","na",(IF('Individual Parcel Estimate'!C43="CI",'Project Wide Estimates'!$K$19*'Project Wide Estimates'!$E$31))))))))))))))))))</f>
        <v>0</v>
      </c>
      <c r="N43" s="218"/>
      <c r="O43" s="217"/>
      <c r="P43" s="203" t="b">
        <f>(IF(C43="W",('Project Wide Estimates'!$D$12+'Project Wide Estimates'!$E$12)*'Project Wide Estimates'!$E$31,(IF(C43="N",('Project Wide Estimates'!$D$13+'Project Wide Estimates'!$E$13)*'Project Wide Estimates'!$E$31,(IF('Individual Parcel Estimate'!C43="I",('Project Wide Estimates'!$D$14+'Project Wide Estimates'!$E$14)*'Project Wide Estimates'!$E$31,(IF('Individual Parcel Estimate'!C43="II",('Project Wide Estimates'!$D$15+'Project Wide Estimates'!$E$15)*'Project Wide Estimates'!$E$31,(IF('Individual Parcel Estimate'!C43="M",('Project Wide Estimates'!$D$16+'Project Wide Estimates'!$E$16)*'Project Wide Estimates'!$E$31,(IF('Individual Parcel Estimate'!C43="MI",('Project Wide Estimates'!$D$17+'Project Wide Estimates'!$E$17)*'Project Wide Estimates'!$E$31,(IF('Individual Parcel Estimate'!C43="C",('Project Wide Estimates'!$D$18+'Project Wide Estimates'!$E$18)*'Project Wide Estimates'!$E$31,(IF('Individual Parcel Estimate'!C43="CI",('Project Wide Estimates'!$D$19+'Project Wide Estimates'!$E$19)*'Project Wide Estimates'!$E$31))))))))))))))))</f>
        <v>0</v>
      </c>
      <c r="Q43" s="318"/>
      <c r="R43" s="116"/>
      <c r="S43" s="203" t="b">
        <f>(IF(U43="Agricultural 1",R43*'Project Wide Estimates'!$Q$15,(IF('Individual Parcel Estimate'!U43="Agricultural 2",'Individual Parcel Estimate'!R43*'Project Wide Estimates'!$Q$16,(IF('Individual Parcel Estimate'!U43="Residential 1",'Individual Parcel Estimate'!R43*'Project Wide Estimates'!$Q$17,(IF('Individual Parcel Estimate'!U43="Residential 2",'Individual Parcel Estimate'!R43*'Project Wide Estimates'!$Q$18,(IF('Individual Parcel Estimate'!U43="Commercial 1",'Individual Parcel Estimate'!R43*'Project Wide Estimates'!$Q$19,(IF('Individual Parcel Estimate'!U43="Commercial 2",'Individual Parcel Estimate'!R43*'Project Wide Estimates'!$Q$20,(IF('Individual Parcel Estimate'!U43="Industrial 1",'Individual Parcel Estimate'!R43*'Project Wide Estimates'!$Q$21,(IF('Individual Parcel Estimate'!U43="Industrial 2",'Individual Parcel Estimate'!R43*'Project Wide Estimates'!$Q$22,(IF('Individual Parcel Estimate'!U43="Other 1",'Individual Parcel Estimate'!R43*'Project Wide Estimates'!$Q$23,(IF('Individual Parcel Estimate'!U43="Other 2",'Individual Parcel Estimate'!R43*'Project Wide Estimates'!$Q$24))))))))))))))))))))</f>
        <v>0</v>
      </c>
      <c r="T43" s="231"/>
      <c r="U43" s="116"/>
      <c r="V43" s="116"/>
      <c r="W43" s="224"/>
      <c r="X43" s="116"/>
      <c r="Y43" s="203" t="b">
        <f>(IF(U43="Agricultural 1",X43*('Project Wide Estimates'!$Q$15*0.1),(IF('Individual Parcel Estimate'!U43="Agricultural 2",'Individual Parcel Estimate'!X43*('Project Wide Estimates'!$Q$16*0.1),(IF('Individual Parcel Estimate'!U43="Residential 1",'Individual Parcel Estimate'!X43*('Project Wide Estimates'!$Q$17*0.1),(IF('Individual Parcel Estimate'!U43="Residential 2",'Individual Parcel Estimate'!X43*('Project Wide Estimates'!$Q$18*0.1),(IF('Individual Parcel Estimate'!U43="Commercial 1",'Individual Parcel Estimate'!X43*('Project Wide Estimates'!$Q$19*0.1),(IF('Individual Parcel Estimate'!U43="Commercial 2",'Individual Parcel Estimate'!X43*('Project Wide Estimates'!$Q$20*0.1),(IF('Individual Parcel Estimate'!U43="Industrial 1",'Individual Parcel Estimate'!X43*('Project Wide Estimates'!$Q$21*0.1),(IF('Individual Parcel Estimate'!U43="Industrial 2",'Individual Parcel Estimate'!X43*('Project Wide Estimates'!$Q$22*0.1),(IF('Individual Parcel Estimate'!U43="Other 1",'Individual Parcel Estimate'!X43*('Project Wide Estimates'!$Q$23*0.1),(IF('Individual Parcel Estimate'!U43="Other 2",'Individual Parcel Estimate'!X43*('Project Wide Estimates'!$Q$24*0.1)))))))))))))))))))))</f>
        <v>0</v>
      </c>
      <c r="Z43" s="203" t="b">
        <f>(IF(U43="Agricultural 1",'Project Wide Estimates'!$Q$15*'Individual Parcel Estimate'!R43, (IF('Individual Parcel Estimate'!U43="Agricultural 2", 'Project Wide Estimates'!$Q$16*'Individual Parcel Estimate'!R43, (IF('Individual Parcel Estimate'!U43="Residential 1", 'Project Wide Estimates'!$Q$17*'Individual Parcel Estimate'!R43, (IF('Individual Parcel Estimate'!U43="Residential 2",'Project Wide Estimates'!$Q$18*'Individual Parcel Estimate'!R43, (IF('Individual Parcel Estimate'!U43="Commercial 1",'Project Wide Estimates'!$Q$19*'Individual Parcel Estimate'!R43, (IF('Individual Parcel Estimate'!U43="Commercial 2", 'Project Wide Estimates'!$Q$20*'Individual Parcel Estimate'!R43, (IF('Individual Parcel Estimate'!U43="Industrial 1", 'Project Wide Estimates'!$Q$21*'Individual Parcel Estimate'!R43, (IF('Individual Parcel Estimate'!U43="Industrial 2", 'Project Wide Estimates'!$Q$22*'Individual Parcel Estimate'!R43, (IF('Individual Parcel Estimate'!U43="Other 1", 'Project Wide Estimates'!$Q$23*'Individual Parcel Estimate'!R43, (IF('Individual Parcel Estimate'!U43="Other 2", 'Project Wide Estimates'!$Q$24*'Individual Parcel Estimate'!R43))))))))))))))))))))</f>
        <v>0</v>
      </c>
      <c r="AA43" s="222">
        <f t="shared" si="4"/>
        <v>0</v>
      </c>
      <c r="AB43" s="203" t="b">
        <f t="shared" si="6"/>
        <v>0</v>
      </c>
      <c r="AC43" s="218"/>
      <c r="AD43" s="218"/>
      <c r="AE43" s="219"/>
      <c r="AF43" s="217"/>
      <c r="AG43" s="217"/>
      <c r="AH43" s="217"/>
      <c r="AI43" s="217"/>
      <c r="AJ43" s="217"/>
      <c r="AK43" s="203">
        <f t="shared" si="7"/>
        <v>0</v>
      </c>
      <c r="AL43" s="203">
        <f t="shared" si="8"/>
        <v>0</v>
      </c>
      <c r="AM43" s="117"/>
      <c r="AN43" s="117"/>
      <c r="AO43" s="117"/>
      <c r="AP43" s="259">
        <f t="shared" si="5"/>
        <v>0</v>
      </c>
      <c r="AQ43" s="117"/>
    </row>
    <row r="44" spans="1:43">
      <c r="A44" s="114"/>
      <c r="B44" s="115"/>
      <c r="C44" s="116"/>
      <c r="D44" s="116"/>
      <c r="E44" s="116"/>
      <c r="F44" s="116"/>
      <c r="G44" s="203" t="b">
        <f>(IF(F44="Consultant", "enter manually", (IF(C44="W", 'Project Wide Estimates'!$H$12*'Project Wide Estimates'!$E$31, (IF(C44="N", ('Project Wide Estimates'!$H$13+'Project Wide Estimates'!$F$13)*'Project Wide Estimates'!$E$31, (IF('Individual Parcel Estimate'!C44="I", ('Project Wide Estimates'!$H$14+'Project Wide Estimates'!$F$14)*'Project Wide Estimates'!$E$31, (IF('Individual Parcel Estimate'!C44="II", ('Project Wide Estimates'!$H$15+'Project Wide Estimates'!$F$15)*'Project Wide Estimates'!$E$31, (IF('Individual Parcel Estimate'!C44="M", ('Project Wide Estimates'!$H$16+'Project Wide Estimates'!$F$16)*'Project Wide Estimates'!$E$31, (IF('Individual Parcel Estimate'!C44="MI", ('Project Wide Estimates'!$H$17+'Project Wide Estimates'!$F$17)*'Project Wide Estimates'!$E$31, (IF('Individual Parcel Estimate'!C44="C", ('Project Wide Estimates'!$H$18+'Project Wide Estimates'!$F$18)*'Project Wide Estimates'!$E$31, (IF('Individual Parcel Estimate'!C44="CI", ('Project Wide Estimates'!$H$19+'Project Wide Estimates'!$F$19)*'Project Wide Estimates'!$E$31))))))))))))))))))</f>
        <v>0</v>
      </c>
      <c r="H44" s="116"/>
      <c r="I44" s="203" t="b">
        <f>(IF(H44="Consultant","enter manually",(IF(C44="W",('Project Wide Estimates'!$G$12+'Project Wide Estimates'!$I$12+'Project Wide Estimates'!$F$12)*'Project Wide Estimates'!$E$31,(IF(C44="N",('Project Wide Estimates'!$G$13+'Project Wide Estimates'!$I$13)*'Project Wide Estimates'!$E$31,(IF('Individual Parcel Estimate'!C44="I",'Project Wide Estimates'!$I$14*'Project Wide Estimates'!$E$31,(IF('Individual Parcel Estimate'!C44="II",'Project Wide Estimates'!$I$15*'Project Wide Estimates'!$E$31,(IF('Individual Parcel Estimate'!C44="M",'Project Wide Estimates'!$I$16*'Project Wide Estimates'!$E$31,(IF('Individual Parcel Estimate'!C44="MI",'Project Wide Estimates'!$I$17*'Project Wide Estimates'!$E$31,(IF('Individual Parcel Estimate'!C44="C",'Project Wide Estimates'!$I$18*'Project Wide Estimates'!$E$31,(IF('Individual Parcel Estimate'!C44="CI",'Project Wide Estimates'!$I$19*'Project Wide Estimates'!$E$31))))))))))))))))))</f>
        <v>0</v>
      </c>
      <c r="J44" s="116"/>
      <c r="K44" s="203" t="b">
        <f>(IF(J44="Consultant","enter manually",(IF(C44="W","na",(IF(C44="N","na",(IF(C44="I","na",(IF(C44="II",'Project Wide Estimates'!$J$15*'Project Wide Estimates'!$E$31,(IF('Individual Parcel Estimate'!C44="M","na",(IF('Individual Parcel Estimate'!C44="MI",'Project Wide Estimates'!$J$17*'Project Wide Estimates'!$E$31,(IF('Individual Parcel Estimate'!C44="C","na",(IF('Individual Parcel Estimate'!C44="CI",'Project Wide Estimates'!$J$19*'Project Wide Estimates'!$E$31))))))))))))))))))</f>
        <v>0</v>
      </c>
      <c r="L44" s="116"/>
      <c r="M44" s="203" t="b">
        <f>(IF(L44="Consultant","enter manually",(IF(C44="W","na",(IF(C44="N","na",(IF(C44="I","na",(IF(C44="II",'Project Wide Estimates'!$K$15*'Project Wide Estimates'!$E$31,(IF('Individual Parcel Estimate'!C44="M","na",(IF('Individual Parcel Estimate'!C44="MI",'Project Wide Estimates'!$K$17*'Project Wide Estimates'!$E$31,(IF('Individual Parcel Estimate'!C44="C","na",(IF('Individual Parcel Estimate'!C44="CI",'Project Wide Estimates'!$K$19*'Project Wide Estimates'!$E$31))))))))))))))))))</f>
        <v>0</v>
      </c>
      <c r="N44" s="218"/>
      <c r="O44" s="217"/>
      <c r="P44" s="203" t="b">
        <f>(IF(C44="W",('Project Wide Estimates'!$D$12+'Project Wide Estimates'!$E$12)*'Project Wide Estimates'!$E$31,(IF(C44="N",('Project Wide Estimates'!$D$13+'Project Wide Estimates'!$E$13)*'Project Wide Estimates'!$E$31,(IF('Individual Parcel Estimate'!C44="I",('Project Wide Estimates'!$D$14+'Project Wide Estimates'!$E$14)*'Project Wide Estimates'!$E$31,(IF('Individual Parcel Estimate'!C44="II",('Project Wide Estimates'!$D$15+'Project Wide Estimates'!$E$15)*'Project Wide Estimates'!$E$31,(IF('Individual Parcel Estimate'!C44="M",('Project Wide Estimates'!$D$16+'Project Wide Estimates'!$E$16)*'Project Wide Estimates'!$E$31,(IF('Individual Parcel Estimate'!C44="MI",('Project Wide Estimates'!$D$17+'Project Wide Estimates'!$E$17)*'Project Wide Estimates'!$E$31,(IF('Individual Parcel Estimate'!C44="C",('Project Wide Estimates'!$D$18+'Project Wide Estimates'!$E$18)*'Project Wide Estimates'!$E$31,(IF('Individual Parcel Estimate'!C44="CI",('Project Wide Estimates'!$D$19+'Project Wide Estimates'!$E$19)*'Project Wide Estimates'!$E$31))))))))))))))))</f>
        <v>0</v>
      </c>
      <c r="Q44" s="318"/>
      <c r="R44" s="116"/>
      <c r="S44" s="203" t="b">
        <f>(IF(U44="Agricultural 1",R44*'Project Wide Estimates'!$Q$15,(IF('Individual Parcel Estimate'!U44="Agricultural 2",'Individual Parcel Estimate'!R44*'Project Wide Estimates'!$Q$16,(IF('Individual Parcel Estimate'!U44="Residential 1",'Individual Parcel Estimate'!R44*'Project Wide Estimates'!$Q$17,(IF('Individual Parcel Estimate'!U44="Residential 2",'Individual Parcel Estimate'!R44*'Project Wide Estimates'!$Q$18,(IF('Individual Parcel Estimate'!U44="Commercial 1",'Individual Parcel Estimate'!R44*'Project Wide Estimates'!$Q$19,(IF('Individual Parcel Estimate'!U44="Commercial 2",'Individual Parcel Estimate'!R44*'Project Wide Estimates'!$Q$20,(IF('Individual Parcel Estimate'!U44="Industrial 1",'Individual Parcel Estimate'!R44*'Project Wide Estimates'!$Q$21,(IF('Individual Parcel Estimate'!U44="Industrial 2",'Individual Parcel Estimate'!R44*'Project Wide Estimates'!$Q$22,(IF('Individual Parcel Estimate'!U44="Other 1",'Individual Parcel Estimate'!R44*'Project Wide Estimates'!$Q$23,(IF('Individual Parcel Estimate'!U44="Other 2",'Individual Parcel Estimate'!R44*'Project Wide Estimates'!$Q$24))))))))))))))))))))</f>
        <v>0</v>
      </c>
      <c r="T44" s="231"/>
      <c r="U44" s="116"/>
      <c r="V44" s="116"/>
      <c r="W44" s="224"/>
      <c r="X44" s="116"/>
      <c r="Y44" s="203" t="b">
        <f>(IF(U44="Agricultural 1",X44*('Project Wide Estimates'!$Q$15*0.1),(IF('Individual Parcel Estimate'!U44="Agricultural 2",'Individual Parcel Estimate'!X44*('Project Wide Estimates'!$Q$16*0.1),(IF('Individual Parcel Estimate'!U44="Residential 1",'Individual Parcel Estimate'!X44*('Project Wide Estimates'!$Q$17*0.1),(IF('Individual Parcel Estimate'!U44="Residential 2",'Individual Parcel Estimate'!X44*('Project Wide Estimates'!$Q$18*0.1),(IF('Individual Parcel Estimate'!U44="Commercial 1",'Individual Parcel Estimate'!X44*('Project Wide Estimates'!$Q$19*0.1),(IF('Individual Parcel Estimate'!U44="Commercial 2",'Individual Parcel Estimate'!X44*('Project Wide Estimates'!$Q$20*0.1),(IF('Individual Parcel Estimate'!U44="Industrial 1",'Individual Parcel Estimate'!X44*('Project Wide Estimates'!$Q$21*0.1),(IF('Individual Parcel Estimate'!U44="Industrial 2",'Individual Parcel Estimate'!X44*('Project Wide Estimates'!$Q$22*0.1),(IF('Individual Parcel Estimate'!U44="Other 1",'Individual Parcel Estimate'!X44*('Project Wide Estimates'!$Q$23*0.1),(IF('Individual Parcel Estimate'!U44="Other 2",'Individual Parcel Estimate'!X44*('Project Wide Estimates'!$Q$24*0.1)))))))))))))))))))))</f>
        <v>0</v>
      </c>
      <c r="Z44" s="203" t="b">
        <f>(IF(U44="Agricultural 1",'Project Wide Estimates'!$Q$15*'Individual Parcel Estimate'!R44, (IF('Individual Parcel Estimate'!U44="Agricultural 2", 'Project Wide Estimates'!$Q$16*'Individual Parcel Estimate'!R44, (IF('Individual Parcel Estimate'!U44="Residential 1", 'Project Wide Estimates'!$Q$17*'Individual Parcel Estimate'!R44, (IF('Individual Parcel Estimate'!U44="Residential 2",'Project Wide Estimates'!$Q$18*'Individual Parcel Estimate'!R44, (IF('Individual Parcel Estimate'!U44="Commercial 1",'Project Wide Estimates'!$Q$19*'Individual Parcel Estimate'!R44, (IF('Individual Parcel Estimate'!U44="Commercial 2", 'Project Wide Estimates'!$Q$20*'Individual Parcel Estimate'!R44, (IF('Individual Parcel Estimate'!U44="Industrial 1", 'Project Wide Estimates'!$Q$21*'Individual Parcel Estimate'!R44, (IF('Individual Parcel Estimate'!U44="Industrial 2", 'Project Wide Estimates'!$Q$22*'Individual Parcel Estimate'!R44, (IF('Individual Parcel Estimate'!U44="Other 1", 'Project Wide Estimates'!$Q$23*'Individual Parcel Estimate'!R44, (IF('Individual Parcel Estimate'!U44="Other 2", 'Project Wide Estimates'!$Q$24*'Individual Parcel Estimate'!R44))))))))))))))))))))</f>
        <v>0</v>
      </c>
      <c r="AA44" s="222">
        <f t="shared" si="4"/>
        <v>0</v>
      </c>
      <c r="AB44" s="203" t="b">
        <f t="shared" si="6"/>
        <v>0</v>
      </c>
      <c r="AC44" s="218"/>
      <c r="AD44" s="218"/>
      <c r="AE44" s="219"/>
      <c r="AF44" s="217"/>
      <c r="AG44" s="217"/>
      <c r="AH44" s="217"/>
      <c r="AI44" s="217"/>
      <c r="AJ44" s="217"/>
      <c r="AK44" s="203">
        <f t="shared" si="7"/>
        <v>0</v>
      </c>
      <c r="AL44" s="203">
        <f t="shared" si="8"/>
        <v>0</v>
      </c>
      <c r="AM44" s="117"/>
      <c r="AN44" s="117"/>
      <c r="AO44" s="117"/>
      <c r="AP44" s="259">
        <f t="shared" si="5"/>
        <v>0</v>
      </c>
      <c r="AQ44" s="117"/>
    </row>
    <row r="45" spans="1:43">
      <c r="A45" s="114"/>
      <c r="B45" s="115"/>
      <c r="C45" s="116"/>
      <c r="D45" s="116"/>
      <c r="E45" s="116"/>
      <c r="F45" s="116"/>
      <c r="G45" s="203" t="b">
        <f>(IF(F45="Consultant", "enter manually", (IF(C45="W", 'Project Wide Estimates'!$H$12*'Project Wide Estimates'!$E$31, (IF(C45="N", ('Project Wide Estimates'!$H$13+'Project Wide Estimates'!$F$13)*'Project Wide Estimates'!$E$31, (IF('Individual Parcel Estimate'!C45="I", ('Project Wide Estimates'!$H$14+'Project Wide Estimates'!$F$14)*'Project Wide Estimates'!$E$31, (IF('Individual Parcel Estimate'!C45="II", ('Project Wide Estimates'!$H$15+'Project Wide Estimates'!$F$15)*'Project Wide Estimates'!$E$31, (IF('Individual Parcel Estimate'!C45="M", ('Project Wide Estimates'!$H$16+'Project Wide Estimates'!$F$16)*'Project Wide Estimates'!$E$31, (IF('Individual Parcel Estimate'!C45="MI", ('Project Wide Estimates'!$H$17+'Project Wide Estimates'!$F$17)*'Project Wide Estimates'!$E$31, (IF('Individual Parcel Estimate'!C45="C", ('Project Wide Estimates'!$H$18+'Project Wide Estimates'!$F$18)*'Project Wide Estimates'!$E$31, (IF('Individual Parcel Estimate'!C45="CI", ('Project Wide Estimates'!$H$19+'Project Wide Estimates'!$F$19)*'Project Wide Estimates'!$E$31))))))))))))))))))</f>
        <v>0</v>
      </c>
      <c r="H45" s="116"/>
      <c r="I45" s="203" t="b">
        <f>(IF(H45="Consultant","enter manually",(IF(C45="W",('Project Wide Estimates'!$G$12+'Project Wide Estimates'!$I$12+'Project Wide Estimates'!$F$12)*'Project Wide Estimates'!$E$31,(IF(C45="N",('Project Wide Estimates'!$G$13+'Project Wide Estimates'!$I$13)*'Project Wide Estimates'!$E$31,(IF('Individual Parcel Estimate'!C45="I",'Project Wide Estimates'!$I$14*'Project Wide Estimates'!$E$31,(IF('Individual Parcel Estimate'!C45="II",'Project Wide Estimates'!$I$15*'Project Wide Estimates'!$E$31,(IF('Individual Parcel Estimate'!C45="M",'Project Wide Estimates'!$I$16*'Project Wide Estimates'!$E$31,(IF('Individual Parcel Estimate'!C45="MI",'Project Wide Estimates'!$I$17*'Project Wide Estimates'!$E$31,(IF('Individual Parcel Estimate'!C45="C",'Project Wide Estimates'!$I$18*'Project Wide Estimates'!$E$31,(IF('Individual Parcel Estimate'!C45="CI",'Project Wide Estimates'!$I$19*'Project Wide Estimates'!$E$31))))))))))))))))))</f>
        <v>0</v>
      </c>
      <c r="J45" s="116"/>
      <c r="K45" s="203" t="b">
        <f>(IF(J45="Consultant","enter manually",(IF(C45="W","na",(IF(C45="N","na",(IF(C45="I","na",(IF(C45="II",'Project Wide Estimates'!$J$15*'Project Wide Estimates'!$E$31,(IF('Individual Parcel Estimate'!C45="M","na",(IF('Individual Parcel Estimate'!C45="MI",'Project Wide Estimates'!$J$17*'Project Wide Estimates'!$E$31,(IF('Individual Parcel Estimate'!C45="C","na",(IF('Individual Parcel Estimate'!C45="CI",'Project Wide Estimates'!$J$19*'Project Wide Estimates'!$E$31))))))))))))))))))</f>
        <v>0</v>
      </c>
      <c r="L45" s="116"/>
      <c r="M45" s="203" t="b">
        <f>(IF(L45="Consultant","enter manually",(IF(C45="W","na",(IF(C45="N","na",(IF(C45="I","na",(IF(C45="II",'Project Wide Estimates'!$K$15*'Project Wide Estimates'!$E$31,(IF('Individual Parcel Estimate'!C45="M","na",(IF('Individual Parcel Estimate'!C45="MI",'Project Wide Estimates'!$K$17*'Project Wide Estimates'!$E$31,(IF('Individual Parcel Estimate'!C45="C","na",(IF('Individual Parcel Estimate'!C45="CI",'Project Wide Estimates'!$K$19*'Project Wide Estimates'!$E$31))))))))))))))))))</f>
        <v>0</v>
      </c>
      <c r="N45" s="218"/>
      <c r="O45" s="217"/>
      <c r="P45" s="203" t="b">
        <f>(IF(C45="W",('Project Wide Estimates'!$D$12+'Project Wide Estimates'!$E$12)*'Project Wide Estimates'!$E$31,(IF(C45="N",('Project Wide Estimates'!$D$13+'Project Wide Estimates'!$E$13)*'Project Wide Estimates'!$E$31,(IF('Individual Parcel Estimate'!C45="I",('Project Wide Estimates'!$D$14+'Project Wide Estimates'!$E$14)*'Project Wide Estimates'!$E$31,(IF('Individual Parcel Estimate'!C45="II",('Project Wide Estimates'!$D$15+'Project Wide Estimates'!$E$15)*'Project Wide Estimates'!$E$31,(IF('Individual Parcel Estimate'!C45="M",('Project Wide Estimates'!$D$16+'Project Wide Estimates'!$E$16)*'Project Wide Estimates'!$E$31,(IF('Individual Parcel Estimate'!C45="MI",('Project Wide Estimates'!$D$17+'Project Wide Estimates'!$E$17)*'Project Wide Estimates'!$E$31,(IF('Individual Parcel Estimate'!C45="C",('Project Wide Estimates'!$D$18+'Project Wide Estimates'!$E$18)*'Project Wide Estimates'!$E$31,(IF('Individual Parcel Estimate'!C45="CI",('Project Wide Estimates'!$D$19+'Project Wide Estimates'!$E$19)*'Project Wide Estimates'!$E$31))))))))))))))))</f>
        <v>0</v>
      </c>
      <c r="Q45" s="318"/>
      <c r="R45" s="116"/>
      <c r="S45" s="203" t="b">
        <f>(IF(U45="Agricultural 1",R45*'Project Wide Estimates'!$Q$15,(IF('Individual Parcel Estimate'!U45="Agricultural 2",'Individual Parcel Estimate'!R45*'Project Wide Estimates'!$Q$16,(IF('Individual Parcel Estimate'!U45="Residential 1",'Individual Parcel Estimate'!R45*'Project Wide Estimates'!$Q$17,(IF('Individual Parcel Estimate'!U45="Residential 2",'Individual Parcel Estimate'!R45*'Project Wide Estimates'!$Q$18,(IF('Individual Parcel Estimate'!U45="Commercial 1",'Individual Parcel Estimate'!R45*'Project Wide Estimates'!$Q$19,(IF('Individual Parcel Estimate'!U45="Commercial 2",'Individual Parcel Estimate'!R45*'Project Wide Estimates'!$Q$20,(IF('Individual Parcel Estimate'!U45="Industrial 1",'Individual Parcel Estimate'!R45*'Project Wide Estimates'!$Q$21,(IF('Individual Parcel Estimate'!U45="Industrial 2",'Individual Parcel Estimate'!R45*'Project Wide Estimates'!$Q$22,(IF('Individual Parcel Estimate'!U45="Other 1",'Individual Parcel Estimate'!R45*'Project Wide Estimates'!$Q$23,(IF('Individual Parcel Estimate'!U45="Other 2",'Individual Parcel Estimate'!R45*'Project Wide Estimates'!$Q$24))))))))))))))))))))</f>
        <v>0</v>
      </c>
      <c r="T45" s="231"/>
      <c r="U45" s="116"/>
      <c r="V45" s="116"/>
      <c r="W45" s="224"/>
      <c r="X45" s="116"/>
      <c r="Y45" s="203" t="b">
        <f>(IF(U45="Agricultural 1",X45*('Project Wide Estimates'!$Q$15*0.1),(IF('Individual Parcel Estimate'!U45="Agricultural 2",'Individual Parcel Estimate'!X45*('Project Wide Estimates'!$Q$16*0.1),(IF('Individual Parcel Estimate'!U45="Residential 1",'Individual Parcel Estimate'!X45*('Project Wide Estimates'!$Q$17*0.1),(IF('Individual Parcel Estimate'!U45="Residential 2",'Individual Parcel Estimate'!X45*('Project Wide Estimates'!$Q$18*0.1),(IF('Individual Parcel Estimate'!U45="Commercial 1",'Individual Parcel Estimate'!X45*('Project Wide Estimates'!$Q$19*0.1),(IF('Individual Parcel Estimate'!U45="Commercial 2",'Individual Parcel Estimate'!X45*('Project Wide Estimates'!$Q$20*0.1),(IF('Individual Parcel Estimate'!U45="Industrial 1",'Individual Parcel Estimate'!X45*('Project Wide Estimates'!$Q$21*0.1),(IF('Individual Parcel Estimate'!U45="Industrial 2",'Individual Parcel Estimate'!X45*('Project Wide Estimates'!$Q$22*0.1),(IF('Individual Parcel Estimate'!U45="Other 1",'Individual Parcel Estimate'!X45*('Project Wide Estimates'!$Q$23*0.1),(IF('Individual Parcel Estimate'!U45="Other 2",'Individual Parcel Estimate'!X45*('Project Wide Estimates'!$Q$24*0.1)))))))))))))))))))))</f>
        <v>0</v>
      </c>
      <c r="Z45" s="203" t="b">
        <f>(IF(U45="Agricultural 1",'Project Wide Estimates'!$Q$15*'Individual Parcel Estimate'!R45, (IF('Individual Parcel Estimate'!U45="Agricultural 2", 'Project Wide Estimates'!$Q$16*'Individual Parcel Estimate'!R45, (IF('Individual Parcel Estimate'!U45="Residential 1", 'Project Wide Estimates'!$Q$17*'Individual Parcel Estimate'!R45, (IF('Individual Parcel Estimate'!U45="Residential 2",'Project Wide Estimates'!$Q$18*'Individual Parcel Estimate'!R45, (IF('Individual Parcel Estimate'!U45="Commercial 1",'Project Wide Estimates'!$Q$19*'Individual Parcel Estimate'!R45, (IF('Individual Parcel Estimate'!U45="Commercial 2", 'Project Wide Estimates'!$Q$20*'Individual Parcel Estimate'!R45, (IF('Individual Parcel Estimate'!U45="Industrial 1", 'Project Wide Estimates'!$Q$21*'Individual Parcel Estimate'!R45, (IF('Individual Parcel Estimate'!U45="Industrial 2", 'Project Wide Estimates'!$Q$22*'Individual Parcel Estimate'!R45, (IF('Individual Parcel Estimate'!U45="Other 1", 'Project Wide Estimates'!$Q$23*'Individual Parcel Estimate'!R45, (IF('Individual Parcel Estimate'!U45="Other 2", 'Project Wide Estimates'!$Q$24*'Individual Parcel Estimate'!R45))))))))))))))))))))</f>
        <v>0</v>
      </c>
      <c r="AA45" s="222">
        <f t="shared" si="4"/>
        <v>0</v>
      </c>
      <c r="AB45" s="203" t="b">
        <f t="shared" si="6"/>
        <v>0</v>
      </c>
      <c r="AC45" s="218"/>
      <c r="AD45" s="218"/>
      <c r="AE45" s="219"/>
      <c r="AF45" s="217"/>
      <c r="AG45" s="217"/>
      <c r="AH45" s="217"/>
      <c r="AI45" s="217"/>
      <c r="AJ45" s="217"/>
      <c r="AK45" s="203">
        <f t="shared" si="7"/>
        <v>0</v>
      </c>
      <c r="AL45" s="203">
        <f t="shared" si="8"/>
        <v>0</v>
      </c>
      <c r="AM45" s="117"/>
      <c r="AN45" s="117"/>
      <c r="AO45" s="117"/>
      <c r="AP45" s="259">
        <f t="shared" si="5"/>
        <v>0</v>
      </c>
      <c r="AQ45" s="117"/>
    </row>
    <row r="46" spans="1:43">
      <c r="A46" s="114"/>
      <c r="B46" s="115"/>
      <c r="C46" s="116"/>
      <c r="D46" s="116"/>
      <c r="E46" s="116"/>
      <c r="F46" s="116"/>
      <c r="G46" s="203" t="b">
        <f>(IF(F46="Consultant", "enter manually", (IF(C46="W", 'Project Wide Estimates'!$H$12*'Project Wide Estimates'!$E$31, (IF(C46="N", ('Project Wide Estimates'!$H$13+'Project Wide Estimates'!$F$13)*'Project Wide Estimates'!$E$31, (IF('Individual Parcel Estimate'!C46="I", ('Project Wide Estimates'!$H$14+'Project Wide Estimates'!$F$14)*'Project Wide Estimates'!$E$31, (IF('Individual Parcel Estimate'!C46="II", ('Project Wide Estimates'!$H$15+'Project Wide Estimates'!$F$15)*'Project Wide Estimates'!$E$31, (IF('Individual Parcel Estimate'!C46="M", ('Project Wide Estimates'!$H$16+'Project Wide Estimates'!$F$16)*'Project Wide Estimates'!$E$31, (IF('Individual Parcel Estimate'!C46="MI", ('Project Wide Estimates'!$H$17+'Project Wide Estimates'!$F$17)*'Project Wide Estimates'!$E$31, (IF('Individual Parcel Estimate'!C46="C", ('Project Wide Estimates'!$H$18+'Project Wide Estimates'!$F$18)*'Project Wide Estimates'!$E$31, (IF('Individual Parcel Estimate'!C46="CI", ('Project Wide Estimates'!$H$19+'Project Wide Estimates'!$F$19)*'Project Wide Estimates'!$E$31))))))))))))))))))</f>
        <v>0</v>
      </c>
      <c r="H46" s="116"/>
      <c r="I46" s="203" t="b">
        <f>(IF(H46="Consultant","enter manually",(IF(C46="W",('Project Wide Estimates'!$G$12+'Project Wide Estimates'!$I$12+'Project Wide Estimates'!$F$12)*'Project Wide Estimates'!$E$31,(IF(C46="N",('Project Wide Estimates'!$G$13+'Project Wide Estimates'!$I$13)*'Project Wide Estimates'!$E$31,(IF('Individual Parcel Estimate'!C46="I",'Project Wide Estimates'!$I$14*'Project Wide Estimates'!$E$31,(IF('Individual Parcel Estimate'!C46="II",'Project Wide Estimates'!$I$15*'Project Wide Estimates'!$E$31,(IF('Individual Parcel Estimate'!C46="M",'Project Wide Estimates'!$I$16*'Project Wide Estimates'!$E$31,(IF('Individual Parcel Estimate'!C46="MI",'Project Wide Estimates'!$I$17*'Project Wide Estimates'!$E$31,(IF('Individual Parcel Estimate'!C46="C",'Project Wide Estimates'!$I$18*'Project Wide Estimates'!$E$31,(IF('Individual Parcel Estimate'!C46="CI",'Project Wide Estimates'!$I$19*'Project Wide Estimates'!$E$31))))))))))))))))))</f>
        <v>0</v>
      </c>
      <c r="J46" s="116"/>
      <c r="K46" s="203" t="b">
        <f>(IF(J46="Consultant","enter manually",(IF(C46="W","na",(IF(C46="N","na",(IF(C46="I","na",(IF(C46="II",'Project Wide Estimates'!$J$15*'Project Wide Estimates'!$E$31,(IF('Individual Parcel Estimate'!C46="M","na",(IF('Individual Parcel Estimate'!C46="MI",'Project Wide Estimates'!$J$17*'Project Wide Estimates'!$E$31,(IF('Individual Parcel Estimate'!C46="C","na",(IF('Individual Parcel Estimate'!C46="CI",'Project Wide Estimates'!$J$19*'Project Wide Estimates'!$E$31))))))))))))))))))</f>
        <v>0</v>
      </c>
      <c r="L46" s="116"/>
      <c r="M46" s="203" t="b">
        <f>(IF(L46="Consultant","enter manually",(IF(C46="W","na",(IF(C46="N","na",(IF(C46="I","na",(IF(C46="II",'Project Wide Estimates'!$K$15*'Project Wide Estimates'!$E$31,(IF('Individual Parcel Estimate'!C46="M","na",(IF('Individual Parcel Estimate'!C46="MI",'Project Wide Estimates'!$K$17*'Project Wide Estimates'!$E$31,(IF('Individual Parcel Estimate'!C46="C","na",(IF('Individual Parcel Estimate'!C46="CI",'Project Wide Estimates'!$K$19*'Project Wide Estimates'!$E$31))))))))))))))))))</f>
        <v>0</v>
      </c>
      <c r="N46" s="218"/>
      <c r="O46" s="217"/>
      <c r="P46" s="203" t="b">
        <f>(IF(C46="W",('Project Wide Estimates'!$D$12+'Project Wide Estimates'!$E$12)*'Project Wide Estimates'!$E$31,(IF(C46="N",('Project Wide Estimates'!$D$13+'Project Wide Estimates'!$E$13)*'Project Wide Estimates'!$E$31,(IF('Individual Parcel Estimate'!C46="I",('Project Wide Estimates'!$D$14+'Project Wide Estimates'!$E$14)*'Project Wide Estimates'!$E$31,(IF('Individual Parcel Estimate'!C46="II",('Project Wide Estimates'!$D$15+'Project Wide Estimates'!$E$15)*'Project Wide Estimates'!$E$31,(IF('Individual Parcel Estimate'!C46="M",('Project Wide Estimates'!$D$16+'Project Wide Estimates'!$E$16)*'Project Wide Estimates'!$E$31,(IF('Individual Parcel Estimate'!C46="MI",('Project Wide Estimates'!$D$17+'Project Wide Estimates'!$E$17)*'Project Wide Estimates'!$E$31,(IF('Individual Parcel Estimate'!C46="C",('Project Wide Estimates'!$D$18+'Project Wide Estimates'!$E$18)*'Project Wide Estimates'!$E$31,(IF('Individual Parcel Estimate'!C46="CI",('Project Wide Estimates'!$D$19+'Project Wide Estimates'!$E$19)*'Project Wide Estimates'!$E$31))))))))))))))))</f>
        <v>0</v>
      </c>
      <c r="Q46" s="318"/>
      <c r="R46" s="116"/>
      <c r="S46" s="203" t="b">
        <f>(IF(U46="Agricultural 1",R46*'Project Wide Estimates'!$Q$15,(IF('Individual Parcel Estimate'!U46="Agricultural 2",'Individual Parcel Estimate'!R46*'Project Wide Estimates'!$Q$16,(IF('Individual Parcel Estimate'!U46="Residential 1",'Individual Parcel Estimate'!R46*'Project Wide Estimates'!$Q$17,(IF('Individual Parcel Estimate'!U46="Residential 2",'Individual Parcel Estimate'!R46*'Project Wide Estimates'!$Q$18,(IF('Individual Parcel Estimate'!U46="Commercial 1",'Individual Parcel Estimate'!R46*'Project Wide Estimates'!$Q$19,(IF('Individual Parcel Estimate'!U46="Commercial 2",'Individual Parcel Estimate'!R46*'Project Wide Estimates'!$Q$20,(IF('Individual Parcel Estimate'!U46="Industrial 1",'Individual Parcel Estimate'!R46*'Project Wide Estimates'!$Q$21,(IF('Individual Parcel Estimate'!U46="Industrial 2",'Individual Parcel Estimate'!R46*'Project Wide Estimates'!$Q$22,(IF('Individual Parcel Estimate'!U46="Other 1",'Individual Parcel Estimate'!R46*'Project Wide Estimates'!$Q$23,(IF('Individual Parcel Estimate'!U46="Other 2",'Individual Parcel Estimate'!R46*'Project Wide Estimates'!$Q$24))))))))))))))))))))</f>
        <v>0</v>
      </c>
      <c r="T46" s="231"/>
      <c r="U46" s="116"/>
      <c r="V46" s="116"/>
      <c r="W46" s="224"/>
      <c r="X46" s="116"/>
      <c r="Y46" s="203" t="b">
        <f>(IF(U46="Agricultural 1",X46*('Project Wide Estimates'!$Q$15*0.1),(IF('Individual Parcel Estimate'!U46="Agricultural 2",'Individual Parcel Estimate'!X46*('Project Wide Estimates'!$Q$16*0.1),(IF('Individual Parcel Estimate'!U46="Residential 1",'Individual Parcel Estimate'!X46*('Project Wide Estimates'!$Q$17*0.1),(IF('Individual Parcel Estimate'!U46="Residential 2",'Individual Parcel Estimate'!X46*('Project Wide Estimates'!$Q$18*0.1),(IF('Individual Parcel Estimate'!U46="Commercial 1",'Individual Parcel Estimate'!X46*('Project Wide Estimates'!$Q$19*0.1),(IF('Individual Parcel Estimate'!U46="Commercial 2",'Individual Parcel Estimate'!X46*('Project Wide Estimates'!$Q$20*0.1),(IF('Individual Parcel Estimate'!U46="Industrial 1",'Individual Parcel Estimate'!X46*('Project Wide Estimates'!$Q$21*0.1),(IF('Individual Parcel Estimate'!U46="Industrial 2",'Individual Parcel Estimate'!X46*('Project Wide Estimates'!$Q$22*0.1),(IF('Individual Parcel Estimate'!U46="Other 1",'Individual Parcel Estimate'!X46*('Project Wide Estimates'!$Q$23*0.1),(IF('Individual Parcel Estimate'!U46="Other 2",'Individual Parcel Estimate'!X46*('Project Wide Estimates'!$Q$24*0.1)))))))))))))))))))))</f>
        <v>0</v>
      </c>
      <c r="Z46" s="203" t="b">
        <f>(IF(U46="Agricultural 1",'Project Wide Estimates'!$Q$15*'Individual Parcel Estimate'!R46, (IF('Individual Parcel Estimate'!U46="Agricultural 2", 'Project Wide Estimates'!$Q$16*'Individual Parcel Estimate'!R46, (IF('Individual Parcel Estimate'!U46="Residential 1", 'Project Wide Estimates'!$Q$17*'Individual Parcel Estimate'!R46, (IF('Individual Parcel Estimate'!U46="Residential 2",'Project Wide Estimates'!$Q$18*'Individual Parcel Estimate'!R46, (IF('Individual Parcel Estimate'!U46="Commercial 1",'Project Wide Estimates'!$Q$19*'Individual Parcel Estimate'!R46, (IF('Individual Parcel Estimate'!U46="Commercial 2", 'Project Wide Estimates'!$Q$20*'Individual Parcel Estimate'!R46, (IF('Individual Parcel Estimate'!U46="Industrial 1", 'Project Wide Estimates'!$Q$21*'Individual Parcel Estimate'!R46, (IF('Individual Parcel Estimate'!U46="Industrial 2", 'Project Wide Estimates'!$Q$22*'Individual Parcel Estimate'!R46, (IF('Individual Parcel Estimate'!U46="Other 1", 'Project Wide Estimates'!$Q$23*'Individual Parcel Estimate'!R46, (IF('Individual Parcel Estimate'!U46="Other 2", 'Project Wide Estimates'!$Q$24*'Individual Parcel Estimate'!R46))))))))))))))))))))</f>
        <v>0</v>
      </c>
      <c r="AA46" s="222">
        <f t="shared" si="4"/>
        <v>0</v>
      </c>
      <c r="AB46" s="203" t="b">
        <f t="shared" ref="AB46:AB57" si="9">Y46</f>
        <v>0</v>
      </c>
      <c r="AC46" s="218"/>
      <c r="AD46" s="218"/>
      <c r="AE46" s="219"/>
      <c r="AF46" s="217"/>
      <c r="AG46" s="217"/>
      <c r="AH46" s="217"/>
      <c r="AI46" s="217"/>
      <c r="AJ46" s="217"/>
      <c r="AK46" s="203">
        <f t="shared" ref="AK46:AK57" si="10">SUM(Z46:AC46)*0.2</f>
        <v>0</v>
      </c>
      <c r="AL46" s="203">
        <f t="shared" ref="AL46:AL57" si="11">SUM(Z46,AB46,AC46,AF46,AG46,AH46,AI46,AJ46,AK46)</f>
        <v>0</v>
      </c>
      <c r="AM46" s="117"/>
      <c r="AN46" s="117"/>
      <c r="AO46" s="117"/>
      <c r="AP46" s="259">
        <f t="shared" si="5"/>
        <v>0</v>
      </c>
      <c r="AQ46" s="117"/>
    </row>
    <row r="47" spans="1:43">
      <c r="A47" s="114"/>
      <c r="B47" s="115"/>
      <c r="C47" s="116"/>
      <c r="D47" s="116"/>
      <c r="E47" s="116"/>
      <c r="F47" s="116"/>
      <c r="G47" s="203" t="b">
        <f>(IF(F47="Consultant", "enter manually", (IF(C47="W", 'Project Wide Estimates'!$H$12*'Project Wide Estimates'!$E$31, (IF(C47="N", ('Project Wide Estimates'!$H$13+'Project Wide Estimates'!$F$13)*'Project Wide Estimates'!$E$31, (IF('Individual Parcel Estimate'!C47="I", ('Project Wide Estimates'!$H$14+'Project Wide Estimates'!$F$14)*'Project Wide Estimates'!$E$31, (IF('Individual Parcel Estimate'!C47="II", ('Project Wide Estimates'!$H$15+'Project Wide Estimates'!$F$15)*'Project Wide Estimates'!$E$31, (IF('Individual Parcel Estimate'!C47="M", ('Project Wide Estimates'!$H$16+'Project Wide Estimates'!$F$16)*'Project Wide Estimates'!$E$31, (IF('Individual Parcel Estimate'!C47="MI", ('Project Wide Estimates'!$H$17+'Project Wide Estimates'!$F$17)*'Project Wide Estimates'!$E$31, (IF('Individual Parcel Estimate'!C47="C", ('Project Wide Estimates'!$H$18+'Project Wide Estimates'!$F$18)*'Project Wide Estimates'!$E$31, (IF('Individual Parcel Estimate'!C47="CI", ('Project Wide Estimates'!$H$19+'Project Wide Estimates'!$F$19)*'Project Wide Estimates'!$E$31))))))))))))))))))</f>
        <v>0</v>
      </c>
      <c r="H47" s="116"/>
      <c r="I47" s="203" t="b">
        <f>(IF(H47="Consultant","enter manually",(IF(C47="W",('Project Wide Estimates'!$G$12+'Project Wide Estimates'!$I$12+'Project Wide Estimates'!$F$12)*'Project Wide Estimates'!$E$31,(IF(C47="N",('Project Wide Estimates'!$G$13+'Project Wide Estimates'!$I$13)*'Project Wide Estimates'!$E$31,(IF('Individual Parcel Estimate'!C47="I",'Project Wide Estimates'!$I$14*'Project Wide Estimates'!$E$31,(IF('Individual Parcel Estimate'!C47="II",'Project Wide Estimates'!$I$15*'Project Wide Estimates'!$E$31,(IF('Individual Parcel Estimate'!C47="M",'Project Wide Estimates'!$I$16*'Project Wide Estimates'!$E$31,(IF('Individual Parcel Estimate'!C47="MI",'Project Wide Estimates'!$I$17*'Project Wide Estimates'!$E$31,(IF('Individual Parcel Estimate'!C47="C",'Project Wide Estimates'!$I$18*'Project Wide Estimates'!$E$31,(IF('Individual Parcel Estimate'!C47="CI",'Project Wide Estimates'!$I$19*'Project Wide Estimates'!$E$31))))))))))))))))))</f>
        <v>0</v>
      </c>
      <c r="J47" s="116"/>
      <c r="K47" s="203" t="b">
        <f>(IF(J47="Consultant","enter manually",(IF(C47="W","na",(IF(C47="N","na",(IF(C47="I","na",(IF(C47="II",'Project Wide Estimates'!$J$15*'Project Wide Estimates'!$E$31,(IF('Individual Parcel Estimate'!C47="M","na",(IF('Individual Parcel Estimate'!C47="MI",'Project Wide Estimates'!$J$17*'Project Wide Estimates'!$E$31,(IF('Individual Parcel Estimate'!C47="C","na",(IF('Individual Parcel Estimate'!C47="CI",'Project Wide Estimates'!$J$19*'Project Wide Estimates'!$E$31))))))))))))))))))</f>
        <v>0</v>
      </c>
      <c r="L47" s="116"/>
      <c r="M47" s="203" t="b">
        <f>(IF(L47="Consultant","enter manually",(IF(C47="W","na",(IF(C47="N","na",(IF(C47="I","na",(IF(C47="II",'Project Wide Estimates'!$K$15*'Project Wide Estimates'!$E$31,(IF('Individual Parcel Estimate'!C47="M","na",(IF('Individual Parcel Estimate'!C47="MI",'Project Wide Estimates'!$K$17*'Project Wide Estimates'!$E$31,(IF('Individual Parcel Estimate'!C47="C","na",(IF('Individual Parcel Estimate'!C47="CI",'Project Wide Estimates'!$K$19*'Project Wide Estimates'!$E$31))))))))))))))))))</f>
        <v>0</v>
      </c>
      <c r="N47" s="218"/>
      <c r="O47" s="217"/>
      <c r="P47" s="203" t="b">
        <f>(IF(C47="W",('Project Wide Estimates'!$D$12+'Project Wide Estimates'!$E$12)*'Project Wide Estimates'!$E$31,(IF(C47="N",('Project Wide Estimates'!$D$13+'Project Wide Estimates'!$E$13)*'Project Wide Estimates'!$E$31,(IF('Individual Parcel Estimate'!C47="I",('Project Wide Estimates'!$D$14+'Project Wide Estimates'!$E$14)*'Project Wide Estimates'!$E$31,(IF('Individual Parcel Estimate'!C47="II",('Project Wide Estimates'!$D$15+'Project Wide Estimates'!$E$15)*'Project Wide Estimates'!$E$31,(IF('Individual Parcel Estimate'!C47="M",('Project Wide Estimates'!$D$16+'Project Wide Estimates'!$E$16)*'Project Wide Estimates'!$E$31,(IF('Individual Parcel Estimate'!C47="MI",('Project Wide Estimates'!$D$17+'Project Wide Estimates'!$E$17)*'Project Wide Estimates'!$E$31,(IF('Individual Parcel Estimate'!C47="C",('Project Wide Estimates'!$D$18+'Project Wide Estimates'!$E$18)*'Project Wide Estimates'!$E$31,(IF('Individual Parcel Estimate'!C47="CI",('Project Wide Estimates'!$D$19+'Project Wide Estimates'!$E$19)*'Project Wide Estimates'!$E$31))))))))))))))))</f>
        <v>0</v>
      </c>
      <c r="Q47" s="318"/>
      <c r="R47" s="116"/>
      <c r="S47" s="203" t="b">
        <f>(IF(U47="Agricultural 1",R47*'Project Wide Estimates'!$Q$15,(IF('Individual Parcel Estimate'!U47="Agricultural 2",'Individual Parcel Estimate'!R47*'Project Wide Estimates'!$Q$16,(IF('Individual Parcel Estimate'!U47="Residential 1",'Individual Parcel Estimate'!R47*'Project Wide Estimates'!$Q$17,(IF('Individual Parcel Estimate'!U47="Residential 2",'Individual Parcel Estimate'!R47*'Project Wide Estimates'!$Q$18,(IF('Individual Parcel Estimate'!U47="Commercial 1",'Individual Parcel Estimate'!R47*'Project Wide Estimates'!$Q$19,(IF('Individual Parcel Estimate'!U47="Commercial 2",'Individual Parcel Estimate'!R47*'Project Wide Estimates'!$Q$20,(IF('Individual Parcel Estimate'!U47="Industrial 1",'Individual Parcel Estimate'!R47*'Project Wide Estimates'!$Q$21,(IF('Individual Parcel Estimate'!U47="Industrial 2",'Individual Parcel Estimate'!R47*'Project Wide Estimates'!$Q$22,(IF('Individual Parcel Estimate'!U47="Other 1",'Individual Parcel Estimate'!R47*'Project Wide Estimates'!$Q$23,(IF('Individual Parcel Estimate'!U47="Other 2",'Individual Parcel Estimate'!R47*'Project Wide Estimates'!$Q$24))))))))))))))))))))</f>
        <v>0</v>
      </c>
      <c r="T47" s="231"/>
      <c r="U47" s="116"/>
      <c r="V47" s="116"/>
      <c r="W47" s="224"/>
      <c r="X47" s="116"/>
      <c r="Y47" s="203" t="b">
        <f>(IF(U47="Agricultural 1",X47*('Project Wide Estimates'!$Q$15*0.1),(IF('Individual Parcel Estimate'!U47="Agricultural 2",'Individual Parcel Estimate'!X47*('Project Wide Estimates'!$Q$16*0.1),(IF('Individual Parcel Estimate'!U47="Residential 1",'Individual Parcel Estimate'!X47*('Project Wide Estimates'!$Q$17*0.1),(IF('Individual Parcel Estimate'!U47="Residential 2",'Individual Parcel Estimate'!X47*('Project Wide Estimates'!$Q$18*0.1),(IF('Individual Parcel Estimate'!U47="Commercial 1",'Individual Parcel Estimate'!X47*('Project Wide Estimates'!$Q$19*0.1),(IF('Individual Parcel Estimate'!U47="Commercial 2",'Individual Parcel Estimate'!X47*('Project Wide Estimates'!$Q$20*0.1),(IF('Individual Parcel Estimate'!U47="Industrial 1",'Individual Parcel Estimate'!X47*('Project Wide Estimates'!$Q$21*0.1),(IF('Individual Parcel Estimate'!U47="Industrial 2",'Individual Parcel Estimate'!X47*('Project Wide Estimates'!$Q$22*0.1),(IF('Individual Parcel Estimate'!U47="Other 1",'Individual Parcel Estimate'!X47*('Project Wide Estimates'!$Q$23*0.1),(IF('Individual Parcel Estimate'!U47="Other 2",'Individual Parcel Estimate'!X47*('Project Wide Estimates'!$Q$24*0.1)))))))))))))))))))))</f>
        <v>0</v>
      </c>
      <c r="Z47" s="203" t="b">
        <f>(IF(U47="Agricultural 1",'Project Wide Estimates'!$Q$15*'Individual Parcel Estimate'!R47, (IF('Individual Parcel Estimate'!U47="Agricultural 2", 'Project Wide Estimates'!$Q$16*'Individual Parcel Estimate'!R47, (IF('Individual Parcel Estimate'!U47="Residential 1", 'Project Wide Estimates'!$Q$17*'Individual Parcel Estimate'!R47, (IF('Individual Parcel Estimate'!U47="Residential 2",'Project Wide Estimates'!$Q$18*'Individual Parcel Estimate'!R47, (IF('Individual Parcel Estimate'!U47="Commercial 1",'Project Wide Estimates'!$Q$19*'Individual Parcel Estimate'!R47, (IF('Individual Parcel Estimate'!U47="Commercial 2", 'Project Wide Estimates'!$Q$20*'Individual Parcel Estimate'!R47, (IF('Individual Parcel Estimate'!U47="Industrial 1", 'Project Wide Estimates'!$Q$21*'Individual Parcel Estimate'!R47, (IF('Individual Parcel Estimate'!U47="Industrial 2", 'Project Wide Estimates'!$Q$22*'Individual Parcel Estimate'!R47, (IF('Individual Parcel Estimate'!U47="Other 1", 'Project Wide Estimates'!$Q$23*'Individual Parcel Estimate'!R47, (IF('Individual Parcel Estimate'!U47="Other 2", 'Project Wide Estimates'!$Q$24*'Individual Parcel Estimate'!R47))))))))))))))))))))</f>
        <v>0</v>
      </c>
      <c r="AA47" s="222">
        <f t="shared" si="4"/>
        <v>0</v>
      </c>
      <c r="AB47" s="203" t="b">
        <f t="shared" si="9"/>
        <v>0</v>
      </c>
      <c r="AC47" s="218"/>
      <c r="AD47" s="218"/>
      <c r="AE47" s="219"/>
      <c r="AF47" s="217"/>
      <c r="AG47" s="217"/>
      <c r="AH47" s="217"/>
      <c r="AI47" s="217"/>
      <c r="AJ47" s="217"/>
      <c r="AK47" s="203">
        <f t="shared" si="10"/>
        <v>0</v>
      </c>
      <c r="AL47" s="203">
        <f t="shared" si="11"/>
        <v>0</v>
      </c>
      <c r="AM47" s="117"/>
      <c r="AN47" s="117"/>
      <c r="AO47" s="117"/>
      <c r="AP47" s="259">
        <f t="shared" si="5"/>
        <v>0</v>
      </c>
      <c r="AQ47" s="117"/>
    </row>
    <row r="48" spans="1:43">
      <c r="A48" s="114"/>
      <c r="B48" s="115"/>
      <c r="C48" s="116"/>
      <c r="D48" s="116"/>
      <c r="E48" s="116"/>
      <c r="F48" s="116"/>
      <c r="G48" s="203" t="b">
        <f>(IF(F48="Consultant", "enter manually", (IF(C48="W", 'Project Wide Estimates'!$H$12*'Project Wide Estimates'!$E$31, (IF(C48="N", ('Project Wide Estimates'!$H$13+'Project Wide Estimates'!$F$13)*'Project Wide Estimates'!$E$31, (IF('Individual Parcel Estimate'!C48="I", ('Project Wide Estimates'!$H$14+'Project Wide Estimates'!$F$14)*'Project Wide Estimates'!$E$31, (IF('Individual Parcel Estimate'!C48="II", ('Project Wide Estimates'!$H$15+'Project Wide Estimates'!$F$15)*'Project Wide Estimates'!$E$31, (IF('Individual Parcel Estimate'!C48="M", ('Project Wide Estimates'!$H$16+'Project Wide Estimates'!$F$16)*'Project Wide Estimates'!$E$31, (IF('Individual Parcel Estimate'!C48="MI", ('Project Wide Estimates'!$H$17+'Project Wide Estimates'!$F$17)*'Project Wide Estimates'!$E$31, (IF('Individual Parcel Estimate'!C48="C", ('Project Wide Estimates'!$H$18+'Project Wide Estimates'!$F$18)*'Project Wide Estimates'!$E$31, (IF('Individual Parcel Estimate'!C48="CI", ('Project Wide Estimates'!$H$19+'Project Wide Estimates'!$F$19)*'Project Wide Estimates'!$E$31))))))))))))))))))</f>
        <v>0</v>
      </c>
      <c r="H48" s="116"/>
      <c r="I48" s="203" t="b">
        <f>(IF(H48="Consultant","enter manually",(IF(C48="W",('Project Wide Estimates'!$G$12+'Project Wide Estimates'!$I$12+'Project Wide Estimates'!$F$12)*'Project Wide Estimates'!$E$31,(IF(C48="N",('Project Wide Estimates'!$G$13+'Project Wide Estimates'!$I$13)*'Project Wide Estimates'!$E$31,(IF('Individual Parcel Estimate'!C48="I",'Project Wide Estimates'!$I$14*'Project Wide Estimates'!$E$31,(IF('Individual Parcel Estimate'!C48="II",'Project Wide Estimates'!$I$15*'Project Wide Estimates'!$E$31,(IF('Individual Parcel Estimate'!C48="M",'Project Wide Estimates'!$I$16*'Project Wide Estimates'!$E$31,(IF('Individual Parcel Estimate'!C48="MI",'Project Wide Estimates'!$I$17*'Project Wide Estimates'!$E$31,(IF('Individual Parcel Estimate'!C48="C",'Project Wide Estimates'!$I$18*'Project Wide Estimates'!$E$31,(IF('Individual Parcel Estimate'!C48="CI",'Project Wide Estimates'!$I$19*'Project Wide Estimates'!$E$31))))))))))))))))))</f>
        <v>0</v>
      </c>
      <c r="J48" s="116"/>
      <c r="K48" s="203" t="b">
        <f>(IF(J48="Consultant","enter manually",(IF(C48="W","na",(IF(C48="N","na",(IF(C48="I","na",(IF(C48="II",'Project Wide Estimates'!$J$15*'Project Wide Estimates'!$E$31,(IF('Individual Parcel Estimate'!C48="M","na",(IF('Individual Parcel Estimate'!C48="MI",'Project Wide Estimates'!$J$17*'Project Wide Estimates'!$E$31,(IF('Individual Parcel Estimate'!C48="C","na",(IF('Individual Parcel Estimate'!C48="CI",'Project Wide Estimates'!$J$19*'Project Wide Estimates'!$E$31))))))))))))))))))</f>
        <v>0</v>
      </c>
      <c r="L48" s="116"/>
      <c r="M48" s="203" t="b">
        <f>(IF(L48="Consultant","enter manually",(IF(C48="W","na",(IF(C48="N","na",(IF(C48="I","na",(IF(C48="II",'Project Wide Estimates'!$K$15*'Project Wide Estimates'!$E$31,(IF('Individual Parcel Estimate'!C48="M","na",(IF('Individual Parcel Estimate'!C48="MI",'Project Wide Estimates'!$K$17*'Project Wide Estimates'!$E$31,(IF('Individual Parcel Estimate'!C48="C","na",(IF('Individual Parcel Estimate'!C48="CI",'Project Wide Estimates'!$K$19*'Project Wide Estimates'!$E$31))))))))))))))))))</f>
        <v>0</v>
      </c>
      <c r="N48" s="218"/>
      <c r="O48" s="217"/>
      <c r="P48" s="203" t="b">
        <f>(IF(C48="W",('Project Wide Estimates'!$D$12+'Project Wide Estimates'!$E$12)*'Project Wide Estimates'!$E$31,(IF(C48="N",('Project Wide Estimates'!$D$13+'Project Wide Estimates'!$E$13)*'Project Wide Estimates'!$E$31,(IF('Individual Parcel Estimate'!C48="I",('Project Wide Estimates'!$D$14+'Project Wide Estimates'!$E$14)*'Project Wide Estimates'!$E$31,(IF('Individual Parcel Estimate'!C48="II",('Project Wide Estimates'!$D$15+'Project Wide Estimates'!$E$15)*'Project Wide Estimates'!$E$31,(IF('Individual Parcel Estimate'!C48="M",('Project Wide Estimates'!$D$16+'Project Wide Estimates'!$E$16)*'Project Wide Estimates'!$E$31,(IF('Individual Parcel Estimate'!C48="MI",('Project Wide Estimates'!$D$17+'Project Wide Estimates'!$E$17)*'Project Wide Estimates'!$E$31,(IF('Individual Parcel Estimate'!C48="C",('Project Wide Estimates'!$D$18+'Project Wide Estimates'!$E$18)*'Project Wide Estimates'!$E$31,(IF('Individual Parcel Estimate'!C48="CI",('Project Wide Estimates'!$D$19+'Project Wide Estimates'!$E$19)*'Project Wide Estimates'!$E$31))))))))))))))))</f>
        <v>0</v>
      </c>
      <c r="Q48" s="318"/>
      <c r="R48" s="116"/>
      <c r="S48" s="203" t="b">
        <f>(IF(U48="Agricultural 1",R48*'Project Wide Estimates'!$Q$15,(IF('Individual Parcel Estimate'!U48="Agricultural 2",'Individual Parcel Estimate'!R48*'Project Wide Estimates'!$Q$16,(IF('Individual Parcel Estimate'!U48="Residential 1",'Individual Parcel Estimate'!R48*'Project Wide Estimates'!$Q$17,(IF('Individual Parcel Estimate'!U48="Residential 2",'Individual Parcel Estimate'!R48*'Project Wide Estimates'!$Q$18,(IF('Individual Parcel Estimate'!U48="Commercial 1",'Individual Parcel Estimate'!R48*'Project Wide Estimates'!$Q$19,(IF('Individual Parcel Estimate'!U48="Commercial 2",'Individual Parcel Estimate'!R48*'Project Wide Estimates'!$Q$20,(IF('Individual Parcel Estimate'!U48="Industrial 1",'Individual Parcel Estimate'!R48*'Project Wide Estimates'!$Q$21,(IF('Individual Parcel Estimate'!U48="Industrial 2",'Individual Parcel Estimate'!R48*'Project Wide Estimates'!$Q$22,(IF('Individual Parcel Estimate'!U48="Other 1",'Individual Parcel Estimate'!R48*'Project Wide Estimates'!$Q$23,(IF('Individual Parcel Estimate'!U48="Other 2",'Individual Parcel Estimate'!R48*'Project Wide Estimates'!$Q$24))))))))))))))))))))</f>
        <v>0</v>
      </c>
      <c r="T48" s="231"/>
      <c r="U48" s="116"/>
      <c r="V48" s="116"/>
      <c r="W48" s="224"/>
      <c r="X48" s="116"/>
      <c r="Y48" s="203" t="b">
        <f>(IF(U48="Agricultural 1",X48*('Project Wide Estimates'!$Q$15*0.1),(IF('Individual Parcel Estimate'!U48="Agricultural 2",'Individual Parcel Estimate'!X48*('Project Wide Estimates'!$Q$16*0.1),(IF('Individual Parcel Estimate'!U48="Residential 1",'Individual Parcel Estimate'!X48*('Project Wide Estimates'!$Q$17*0.1),(IF('Individual Parcel Estimate'!U48="Residential 2",'Individual Parcel Estimate'!X48*('Project Wide Estimates'!$Q$18*0.1),(IF('Individual Parcel Estimate'!U48="Commercial 1",'Individual Parcel Estimate'!X48*('Project Wide Estimates'!$Q$19*0.1),(IF('Individual Parcel Estimate'!U48="Commercial 2",'Individual Parcel Estimate'!X48*('Project Wide Estimates'!$Q$20*0.1),(IF('Individual Parcel Estimate'!U48="Industrial 1",'Individual Parcel Estimate'!X48*('Project Wide Estimates'!$Q$21*0.1),(IF('Individual Parcel Estimate'!U48="Industrial 2",'Individual Parcel Estimate'!X48*('Project Wide Estimates'!$Q$22*0.1),(IF('Individual Parcel Estimate'!U48="Other 1",'Individual Parcel Estimate'!X48*('Project Wide Estimates'!$Q$23*0.1),(IF('Individual Parcel Estimate'!U48="Other 2",'Individual Parcel Estimate'!X48*('Project Wide Estimates'!$Q$24*0.1)))))))))))))))))))))</f>
        <v>0</v>
      </c>
      <c r="Z48" s="203" t="b">
        <f>(IF(U48="Agricultural 1",'Project Wide Estimates'!$Q$15*'Individual Parcel Estimate'!R48, (IF('Individual Parcel Estimate'!U48="Agricultural 2", 'Project Wide Estimates'!$Q$16*'Individual Parcel Estimate'!R48, (IF('Individual Parcel Estimate'!U48="Residential 1", 'Project Wide Estimates'!$Q$17*'Individual Parcel Estimate'!R48, (IF('Individual Parcel Estimate'!U48="Residential 2",'Project Wide Estimates'!$Q$18*'Individual Parcel Estimate'!R48, (IF('Individual Parcel Estimate'!U48="Commercial 1",'Project Wide Estimates'!$Q$19*'Individual Parcel Estimate'!R48, (IF('Individual Parcel Estimate'!U48="Commercial 2", 'Project Wide Estimates'!$Q$20*'Individual Parcel Estimate'!R48, (IF('Individual Parcel Estimate'!U48="Industrial 1", 'Project Wide Estimates'!$Q$21*'Individual Parcel Estimate'!R48, (IF('Individual Parcel Estimate'!U48="Industrial 2", 'Project Wide Estimates'!$Q$22*'Individual Parcel Estimate'!R48, (IF('Individual Parcel Estimate'!U48="Other 1", 'Project Wide Estimates'!$Q$23*'Individual Parcel Estimate'!R48, (IF('Individual Parcel Estimate'!U48="Other 2", 'Project Wide Estimates'!$Q$24*'Individual Parcel Estimate'!R48))))))))))))))))))))</f>
        <v>0</v>
      </c>
      <c r="AA48" s="222">
        <f t="shared" si="4"/>
        <v>0</v>
      </c>
      <c r="AB48" s="203" t="b">
        <f t="shared" si="9"/>
        <v>0</v>
      </c>
      <c r="AC48" s="218"/>
      <c r="AD48" s="218"/>
      <c r="AE48" s="219"/>
      <c r="AF48" s="217"/>
      <c r="AG48" s="217"/>
      <c r="AH48" s="217"/>
      <c r="AI48" s="217"/>
      <c r="AJ48" s="217"/>
      <c r="AK48" s="203">
        <f t="shared" si="10"/>
        <v>0</v>
      </c>
      <c r="AL48" s="203">
        <f t="shared" si="11"/>
        <v>0</v>
      </c>
      <c r="AM48" s="117"/>
      <c r="AN48" s="117"/>
      <c r="AO48" s="117"/>
      <c r="AP48" s="259">
        <f t="shared" si="5"/>
        <v>0</v>
      </c>
      <c r="AQ48" s="117"/>
    </row>
    <row r="49" spans="1:43">
      <c r="A49" s="114"/>
      <c r="B49" s="115"/>
      <c r="C49" s="116"/>
      <c r="D49" s="116"/>
      <c r="E49" s="116"/>
      <c r="F49" s="116"/>
      <c r="G49" s="203" t="b">
        <f>(IF(F49="Consultant", "enter manually", (IF(C49="W", 'Project Wide Estimates'!$H$12*'Project Wide Estimates'!$E$31, (IF(C49="N", ('Project Wide Estimates'!$H$13+'Project Wide Estimates'!$F$13)*'Project Wide Estimates'!$E$31, (IF('Individual Parcel Estimate'!C49="I", ('Project Wide Estimates'!$H$14+'Project Wide Estimates'!$F$14)*'Project Wide Estimates'!$E$31, (IF('Individual Parcel Estimate'!C49="II", ('Project Wide Estimates'!$H$15+'Project Wide Estimates'!$F$15)*'Project Wide Estimates'!$E$31, (IF('Individual Parcel Estimate'!C49="M", ('Project Wide Estimates'!$H$16+'Project Wide Estimates'!$F$16)*'Project Wide Estimates'!$E$31, (IF('Individual Parcel Estimate'!C49="MI", ('Project Wide Estimates'!$H$17+'Project Wide Estimates'!$F$17)*'Project Wide Estimates'!$E$31, (IF('Individual Parcel Estimate'!C49="C", ('Project Wide Estimates'!$H$18+'Project Wide Estimates'!$F$18)*'Project Wide Estimates'!$E$31, (IF('Individual Parcel Estimate'!C49="CI", ('Project Wide Estimates'!$H$19+'Project Wide Estimates'!$F$19)*'Project Wide Estimates'!$E$31))))))))))))))))))</f>
        <v>0</v>
      </c>
      <c r="H49" s="116"/>
      <c r="I49" s="203" t="b">
        <f>(IF(H49="Consultant","enter manually",(IF(C49="W",('Project Wide Estimates'!$G$12+'Project Wide Estimates'!$I$12+'Project Wide Estimates'!$F$12)*'Project Wide Estimates'!$E$31,(IF(C49="N",('Project Wide Estimates'!$G$13+'Project Wide Estimates'!$I$13)*'Project Wide Estimates'!$E$31,(IF('Individual Parcel Estimate'!C49="I",'Project Wide Estimates'!$I$14*'Project Wide Estimates'!$E$31,(IF('Individual Parcel Estimate'!C49="II",'Project Wide Estimates'!$I$15*'Project Wide Estimates'!$E$31,(IF('Individual Parcel Estimate'!C49="M",'Project Wide Estimates'!$I$16*'Project Wide Estimates'!$E$31,(IF('Individual Parcel Estimate'!C49="MI",'Project Wide Estimates'!$I$17*'Project Wide Estimates'!$E$31,(IF('Individual Parcel Estimate'!C49="C",'Project Wide Estimates'!$I$18*'Project Wide Estimates'!$E$31,(IF('Individual Parcel Estimate'!C49="CI",'Project Wide Estimates'!$I$19*'Project Wide Estimates'!$E$31))))))))))))))))))</f>
        <v>0</v>
      </c>
      <c r="J49" s="116"/>
      <c r="K49" s="203" t="b">
        <f>(IF(J49="Consultant","enter manually",(IF(C49="W","na",(IF(C49="N","na",(IF(C49="I","na",(IF(C49="II",'Project Wide Estimates'!$J$15*'Project Wide Estimates'!$E$31,(IF('Individual Parcel Estimate'!C49="M","na",(IF('Individual Parcel Estimate'!C49="MI",'Project Wide Estimates'!$J$17*'Project Wide Estimates'!$E$31,(IF('Individual Parcel Estimate'!C49="C","na",(IF('Individual Parcel Estimate'!C49="CI",'Project Wide Estimates'!$J$19*'Project Wide Estimates'!$E$31))))))))))))))))))</f>
        <v>0</v>
      </c>
      <c r="L49" s="116"/>
      <c r="M49" s="203" t="b">
        <f>(IF(L49="Consultant","enter manually",(IF(C49="W","na",(IF(C49="N","na",(IF(C49="I","na",(IF(C49="II",'Project Wide Estimates'!$K$15*'Project Wide Estimates'!$E$31,(IF('Individual Parcel Estimate'!C49="M","na",(IF('Individual Parcel Estimate'!C49="MI",'Project Wide Estimates'!$K$17*'Project Wide Estimates'!$E$31,(IF('Individual Parcel Estimate'!C49="C","na",(IF('Individual Parcel Estimate'!C49="CI",'Project Wide Estimates'!$K$19*'Project Wide Estimates'!$E$31))))))))))))))))))</f>
        <v>0</v>
      </c>
      <c r="N49" s="218"/>
      <c r="O49" s="217"/>
      <c r="P49" s="203" t="b">
        <f>(IF(C49="W",('Project Wide Estimates'!$D$12+'Project Wide Estimates'!$E$12)*'Project Wide Estimates'!$E$31,(IF(C49="N",('Project Wide Estimates'!$D$13+'Project Wide Estimates'!$E$13)*'Project Wide Estimates'!$E$31,(IF('Individual Parcel Estimate'!C49="I",('Project Wide Estimates'!$D$14+'Project Wide Estimates'!$E$14)*'Project Wide Estimates'!$E$31,(IF('Individual Parcel Estimate'!C49="II",('Project Wide Estimates'!$D$15+'Project Wide Estimates'!$E$15)*'Project Wide Estimates'!$E$31,(IF('Individual Parcel Estimate'!C49="M",('Project Wide Estimates'!$D$16+'Project Wide Estimates'!$E$16)*'Project Wide Estimates'!$E$31,(IF('Individual Parcel Estimate'!C49="MI",('Project Wide Estimates'!$D$17+'Project Wide Estimates'!$E$17)*'Project Wide Estimates'!$E$31,(IF('Individual Parcel Estimate'!C49="C",('Project Wide Estimates'!$D$18+'Project Wide Estimates'!$E$18)*'Project Wide Estimates'!$E$31,(IF('Individual Parcel Estimate'!C49="CI",('Project Wide Estimates'!$D$19+'Project Wide Estimates'!$E$19)*'Project Wide Estimates'!$E$31))))))))))))))))</f>
        <v>0</v>
      </c>
      <c r="Q49" s="318"/>
      <c r="R49" s="116"/>
      <c r="S49" s="203" t="b">
        <f>(IF(U49="Agricultural 1",R49*'Project Wide Estimates'!$Q$15,(IF('Individual Parcel Estimate'!U49="Agricultural 2",'Individual Parcel Estimate'!R49*'Project Wide Estimates'!$Q$16,(IF('Individual Parcel Estimate'!U49="Residential 1",'Individual Parcel Estimate'!R49*'Project Wide Estimates'!$Q$17,(IF('Individual Parcel Estimate'!U49="Residential 2",'Individual Parcel Estimate'!R49*'Project Wide Estimates'!$Q$18,(IF('Individual Parcel Estimate'!U49="Commercial 1",'Individual Parcel Estimate'!R49*'Project Wide Estimates'!$Q$19,(IF('Individual Parcel Estimate'!U49="Commercial 2",'Individual Parcel Estimate'!R49*'Project Wide Estimates'!$Q$20,(IF('Individual Parcel Estimate'!U49="Industrial 1",'Individual Parcel Estimate'!R49*'Project Wide Estimates'!$Q$21,(IF('Individual Parcel Estimate'!U49="Industrial 2",'Individual Parcel Estimate'!R49*'Project Wide Estimates'!$Q$22,(IF('Individual Parcel Estimate'!U49="Other 1",'Individual Parcel Estimate'!R49*'Project Wide Estimates'!$Q$23,(IF('Individual Parcel Estimate'!U49="Other 2",'Individual Parcel Estimate'!R49*'Project Wide Estimates'!$Q$24))))))))))))))))))))</f>
        <v>0</v>
      </c>
      <c r="T49" s="231"/>
      <c r="U49" s="116"/>
      <c r="V49" s="116"/>
      <c r="W49" s="224"/>
      <c r="X49" s="116"/>
      <c r="Y49" s="203" t="b">
        <f>(IF(U49="Agricultural 1",X49*('Project Wide Estimates'!$Q$15*0.1),(IF('Individual Parcel Estimate'!U49="Agricultural 2",'Individual Parcel Estimate'!X49*('Project Wide Estimates'!$Q$16*0.1),(IF('Individual Parcel Estimate'!U49="Residential 1",'Individual Parcel Estimate'!X49*('Project Wide Estimates'!$Q$17*0.1),(IF('Individual Parcel Estimate'!U49="Residential 2",'Individual Parcel Estimate'!X49*('Project Wide Estimates'!$Q$18*0.1),(IF('Individual Parcel Estimate'!U49="Commercial 1",'Individual Parcel Estimate'!X49*('Project Wide Estimates'!$Q$19*0.1),(IF('Individual Parcel Estimate'!U49="Commercial 2",'Individual Parcel Estimate'!X49*('Project Wide Estimates'!$Q$20*0.1),(IF('Individual Parcel Estimate'!U49="Industrial 1",'Individual Parcel Estimate'!X49*('Project Wide Estimates'!$Q$21*0.1),(IF('Individual Parcel Estimate'!U49="Industrial 2",'Individual Parcel Estimate'!X49*('Project Wide Estimates'!$Q$22*0.1),(IF('Individual Parcel Estimate'!U49="Other 1",'Individual Parcel Estimate'!X49*('Project Wide Estimates'!$Q$23*0.1),(IF('Individual Parcel Estimate'!U49="Other 2",'Individual Parcel Estimate'!X49*('Project Wide Estimates'!$Q$24*0.1)))))))))))))))))))))</f>
        <v>0</v>
      </c>
      <c r="Z49" s="203" t="b">
        <f>(IF(U49="Agricultural 1",'Project Wide Estimates'!$Q$15*'Individual Parcel Estimate'!R49, (IF('Individual Parcel Estimate'!U49="Agricultural 2", 'Project Wide Estimates'!$Q$16*'Individual Parcel Estimate'!R49, (IF('Individual Parcel Estimate'!U49="Residential 1", 'Project Wide Estimates'!$Q$17*'Individual Parcel Estimate'!R49, (IF('Individual Parcel Estimate'!U49="Residential 2",'Project Wide Estimates'!$Q$18*'Individual Parcel Estimate'!R49, (IF('Individual Parcel Estimate'!U49="Commercial 1",'Project Wide Estimates'!$Q$19*'Individual Parcel Estimate'!R49, (IF('Individual Parcel Estimate'!U49="Commercial 2", 'Project Wide Estimates'!$Q$20*'Individual Parcel Estimate'!R49, (IF('Individual Parcel Estimate'!U49="Industrial 1", 'Project Wide Estimates'!$Q$21*'Individual Parcel Estimate'!R49, (IF('Individual Parcel Estimate'!U49="Industrial 2", 'Project Wide Estimates'!$Q$22*'Individual Parcel Estimate'!R49, (IF('Individual Parcel Estimate'!U49="Other 1", 'Project Wide Estimates'!$Q$23*'Individual Parcel Estimate'!R49, (IF('Individual Parcel Estimate'!U49="Other 2", 'Project Wide Estimates'!$Q$24*'Individual Parcel Estimate'!R49))))))))))))))))))))</f>
        <v>0</v>
      </c>
      <c r="AA49" s="222">
        <f t="shared" si="4"/>
        <v>0</v>
      </c>
      <c r="AB49" s="203" t="b">
        <f t="shared" si="9"/>
        <v>0</v>
      </c>
      <c r="AC49" s="218"/>
      <c r="AD49" s="218"/>
      <c r="AE49" s="219"/>
      <c r="AF49" s="217"/>
      <c r="AG49" s="217"/>
      <c r="AH49" s="217"/>
      <c r="AI49" s="217"/>
      <c r="AJ49" s="217"/>
      <c r="AK49" s="203">
        <f t="shared" si="10"/>
        <v>0</v>
      </c>
      <c r="AL49" s="203">
        <f t="shared" si="11"/>
        <v>0</v>
      </c>
      <c r="AM49" s="117"/>
      <c r="AN49" s="117"/>
      <c r="AO49" s="117"/>
      <c r="AP49" s="259">
        <f t="shared" si="5"/>
        <v>0</v>
      </c>
      <c r="AQ49" s="117"/>
    </row>
    <row r="50" spans="1:43">
      <c r="A50" s="114"/>
      <c r="B50" s="115"/>
      <c r="C50" s="116"/>
      <c r="D50" s="116"/>
      <c r="E50" s="116"/>
      <c r="F50" s="116"/>
      <c r="G50" s="203" t="b">
        <f>(IF(F50="Consultant", "enter manually", (IF(C50="W", 'Project Wide Estimates'!$H$12*'Project Wide Estimates'!$E$31, (IF(C50="N", ('Project Wide Estimates'!$H$13+'Project Wide Estimates'!$F$13)*'Project Wide Estimates'!$E$31, (IF('Individual Parcel Estimate'!C50="I", ('Project Wide Estimates'!$H$14+'Project Wide Estimates'!$F$14)*'Project Wide Estimates'!$E$31, (IF('Individual Parcel Estimate'!C50="II", ('Project Wide Estimates'!$H$15+'Project Wide Estimates'!$F$15)*'Project Wide Estimates'!$E$31, (IF('Individual Parcel Estimate'!C50="M", ('Project Wide Estimates'!$H$16+'Project Wide Estimates'!$F$16)*'Project Wide Estimates'!$E$31, (IF('Individual Parcel Estimate'!C50="MI", ('Project Wide Estimates'!$H$17+'Project Wide Estimates'!$F$17)*'Project Wide Estimates'!$E$31, (IF('Individual Parcel Estimate'!C50="C", ('Project Wide Estimates'!$H$18+'Project Wide Estimates'!$F$18)*'Project Wide Estimates'!$E$31, (IF('Individual Parcel Estimate'!C50="CI", ('Project Wide Estimates'!$H$19+'Project Wide Estimates'!$F$19)*'Project Wide Estimates'!$E$31))))))))))))))))))</f>
        <v>0</v>
      </c>
      <c r="H50" s="116"/>
      <c r="I50" s="203" t="b">
        <f>(IF(H50="Consultant","enter manually",(IF(C50="W",('Project Wide Estimates'!$G$12+'Project Wide Estimates'!$I$12+'Project Wide Estimates'!$F$12)*'Project Wide Estimates'!$E$31,(IF(C50="N",('Project Wide Estimates'!$G$13+'Project Wide Estimates'!$I$13)*'Project Wide Estimates'!$E$31,(IF('Individual Parcel Estimate'!C50="I",'Project Wide Estimates'!$I$14*'Project Wide Estimates'!$E$31,(IF('Individual Parcel Estimate'!C50="II",'Project Wide Estimates'!$I$15*'Project Wide Estimates'!$E$31,(IF('Individual Parcel Estimate'!C50="M",'Project Wide Estimates'!$I$16*'Project Wide Estimates'!$E$31,(IF('Individual Parcel Estimate'!C50="MI",'Project Wide Estimates'!$I$17*'Project Wide Estimates'!$E$31,(IF('Individual Parcel Estimate'!C50="C",'Project Wide Estimates'!$I$18*'Project Wide Estimates'!$E$31,(IF('Individual Parcel Estimate'!C50="CI",'Project Wide Estimates'!$I$19*'Project Wide Estimates'!$E$31))))))))))))))))))</f>
        <v>0</v>
      </c>
      <c r="J50" s="116"/>
      <c r="K50" s="203" t="b">
        <f>(IF(J50="Consultant","enter manually",(IF(C50="W","na",(IF(C50="N","na",(IF(C50="I","na",(IF(C50="II",'Project Wide Estimates'!$J$15*'Project Wide Estimates'!$E$31,(IF('Individual Parcel Estimate'!C50="M","na",(IF('Individual Parcel Estimate'!C50="MI",'Project Wide Estimates'!$J$17*'Project Wide Estimates'!$E$31,(IF('Individual Parcel Estimate'!C50="C","na",(IF('Individual Parcel Estimate'!C50="CI",'Project Wide Estimates'!$J$19*'Project Wide Estimates'!$E$31))))))))))))))))))</f>
        <v>0</v>
      </c>
      <c r="L50" s="116"/>
      <c r="M50" s="203" t="b">
        <f>(IF(L50="Consultant","enter manually",(IF(C50="W","na",(IF(C50="N","na",(IF(C50="I","na",(IF(C50="II",'Project Wide Estimates'!$K$15*'Project Wide Estimates'!$E$31,(IF('Individual Parcel Estimate'!C50="M","na",(IF('Individual Parcel Estimate'!C50="MI",'Project Wide Estimates'!$K$17*'Project Wide Estimates'!$E$31,(IF('Individual Parcel Estimate'!C50="C","na",(IF('Individual Parcel Estimate'!C50="CI",'Project Wide Estimates'!$K$19*'Project Wide Estimates'!$E$31))))))))))))))))))</f>
        <v>0</v>
      </c>
      <c r="N50" s="218"/>
      <c r="O50" s="217"/>
      <c r="P50" s="203" t="b">
        <f>(IF(C50="W",('Project Wide Estimates'!$D$12+'Project Wide Estimates'!$E$12)*'Project Wide Estimates'!$E$31,(IF(C50="N",('Project Wide Estimates'!$D$13+'Project Wide Estimates'!$E$13)*'Project Wide Estimates'!$E$31,(IF('Individual Parcel Estimate'!C50="I",('Project Wide Estimates'!$D$14+'Project Wide Estimates'!$E$14)*'Project Wide Estimates'!$E$31,(IF('Individual Parcel Estimate'!C50="II",('Project Wide Estimates'!$D$15+'Project Wide Estimates'!$E$15)*'Project Wide Estimates'!$E$31,(IF('Individual Parcel Estimate'!C50="M",('Project Wide Estimates'!$D$16+'Project Wide Estimates'!$E$16)*'Project Wide Estimates'!$E$31,(IF('Individual Parcel Estimate'!C50="MI",('Project Wide Estimates'!$D$17+'Project Wide Estimates'!$E$17)*'Project Wide Estimates'!$E$31,(IF('Individual Parcel Estimate'!C50="C",('Project Wide Estimates'!$D$18+'Project Wide Estimates'!$E$18)*'Project Wide Estimates'!$E$31,(IF('Individual Parcel Estimate'!C50="CI",('Project Wide Estimates'!$D$19+'Project Wide Estimates'!$E$19)*'Project Wide Estimates'!$E$31))))))))))))))))</f>
        <v>0</v>
      </c>
      <c r="Q50" s="318"/>
      <c r="R50" s="116"/>
      <c r="S50" s="203" t="b">
        <f>(IF(U50="Agricultural 1",R50*'Project Wide Estimates'!$Q$15,(IF('Individual Parcel Estimate'!U50="Agricultural 2",'Individual Parcel Estimate'!R50*'Project Wide Estimates'!$Q$16,(IF('Individual Parcel Estimate'!U50="Residential 1",'Individual Parcel Estimate'!R50*'Project Wide Estimates'!$Q$17,(IF('Individual Parcel Estimate'!U50="Residential 2",'Individual Parcel Estimate'!R50*'Project Wide Estimates'!$Q$18,(IF('Individual Parcel Estimate'!U50="Commercial 1",'Individual Parcel Estimate'!R50*'Project Wide Estimates'!$Q$19,(IF('Individual Parcel Estimate'!U50="Commercial 2",'Individual Parcel Estimate'!R50*'Project Wide Estimates'!$Q$20,(IF('Individual Parcel Estimate'!U50="Industrial 1",'Individual Parcel Estimate'!R50*'Project Wide Estimates'!$Q$21,(IF('Individual Parcel Estimate'!U50="Industrial 2",'Individual Parcel Estimate'!R50*'Project Wide Estimates'!$Q$22,(IF('Individual Parcel Estimate'!U50="Other 1",'Individual Parcel Estimate'!R50*'Project Wide Estimates'!$Q$23,(IF('Individual Parcel Estimate'!U50="Other 2",'Individual Parcel Estimate'!R50*'Project Wide Estimates'!$Q$24))))))))))))))))))))</f>
        <v>0</v>
      </c>
      <c r="T50" s="231"/>
      <c r="U50" s="116"/>
      <c r="V50" s="116"/>
      <c r="W50" s="224"/>
      <c r="X50" s="116"/>
      <c r="Y50" s="203" t="b">
        <f>(IF(U50="Agricultural 1",X50*('Project Wide Estimates'!$Q$15*0.1),(IF('Individual Parcel Estimate'!U50="Agricultural 2",'Individual Parcel Estimate'!X50*('Project Wide Estimates'!$Q$16*0.1),(IF('Individual Parcel Estimate'!U50="Residential 1",'Individual Parcel Estimate'!X50*('Project Wide Estimates'!$Q$17*0.1),(IF('Individual Parcel Estimate'!U50="Residential 2",'Individual Parcel Estimate'!X50*('Project Wide Estimates'!$Q$18*0.1),(IF('Individual Parcel Estimate'!U50="Commercial 1",'Individual Parcel Estimate'!X50*('Project Wide Estimates'!$Q$19*0.1),(IF('Individual Parcel Estimate'!U50="Commercial 2",'Individual Parcel Estimate'!X50*('Project Wide Estimates'!$Q$20*0.1),(IF('Individual Parcel Estimate'!U50="Industrial 1",'Individual Parcel Estimate'!X50*('Project Wide Estimates'!$Q$21*0.1),(IF('Individual Parcel Estimate'!U50="Industrial 2",'Individual Parcel Estimate'!X50*('Project Wide Estimates'!$Q$22*0.1),(IF('Individual Parcel Estimate'!U50="Other 1",'Individual Parcel Estimate'!X50*('Project Wide Estimates'!$Q$23*0.1),(IF('Individual Parcel Estimate'!U50="Other 2",'Individual Parcel Estimate'!X50*('Project Wide Estimates'!$Q$24*0.1)))))))))))))))))))))</f>
        <v>0</v>
      </c>
      <c r="Z50" s="203" t="b">
        <f>(IF(U50="Agricultural 1",'Project Wide Estimates'!$Q$15*'Individual Parcel Estimate'!R50, (IF('Individual Parcel Estimate'!U50="Agricultural 2", 'Project Wide Estimates'!$Q$16*'Individual Parcel Estimate'!R50, (IF('Individual Parcel Estimate'!U50="Residential 1", 'Project Wide Estimates'!$Q$17*'Individual Parcel Estimate'!R50, (IF('Individual Parcel Estimate'!U50="Residential 2",'Project Wide Estimates'!$Q$18*'Individual Parcel Estimate'!R50, (IF('Individual Parcel Estimate'!U50="Commercial 1",'Project Wide Estimates'!$Q$19*'Individual Parcel Estimate'!R50, (IF('Individual Parcel Estimate'!U50="Commercial 2", 'Project Wide Estimates'!$Q$20*'Individual Parcel Estimate'!R50, (IF('Individual Parcel Estimate'!U50="Industrial 1", 'Project Wide Estimates'!$Q$21*'Individual Parcel Estimate'!R50, (IF('Individual Parcel Estimate'!U50="Industrial 2", 'Project Wide Estimates'!$Q$22*'Individual Parcel Estimate'!R50, (IF('Individual Parcel Estimate'!U50="Other 1", 'Project Wide Estimates'!$Q$23*'Individual Parcel Estimate'!R50, (IF('Individual Parcel Estimate'!U50="Other 2", 'Project Wide Estimates'!$Q$24*'Individual Parcel Estimate'!R50))))))))))))))))))))</f>
        <v>0</v>
      </c>
      <c r="AA50" s="222">
        <f t="shared" si="4"/>
        <v>0</v>
      </c>
      <c r="AB50" s="203" t="b">
        <f t="shared" si="9"/>
        <v>0</v>
      </c>
      <c r="AC50" s="218"/>
      <c r="AD50" s="218"/>
      <c r="AE50" s="219"/>
      <c r="AF50" s="217"/>
      <c r="AG50" s="217"/>
      <c r="AH50" s="217"/>
      <c r="AI50" s="217"/>
      <c r="AJ50" s="217"/>
      <c r="AK50" s="203">
        <f t="shared" si="10"/>
        <v>0</v>
      </c>
      <c r="AL50" s="203">
        <f t="shared" si="11"/>
        <v>0</v>
      </c>
      <c r="AM50" s="117"/>
      <c r="AN50" s="117"/>
      <c r="AO50" s="117"/>
      <c r="AP50" s="259">
        <f t="shared" si="5"/>
        <v>0</v>
      </c>
      <c r="AQ50" s="117"/>
    </row>
    <row r="51" spans="1:43">
      <c r="A51" s="114"/>
      <c r="B51" s="115"/>
      <c r="C51" s="116"/>
      <c r="D51" s="116"/>
      <c r="E51" s="116"/>
      <c r="F51" s="116"/>
      <c r="G51" s="203" t="b">
        <f>(IF(F51="Consultant", "enter manually", (IF(C51="W", 'Project Wide Estimates'!$H$12*'Project Wide Estimates'!$E$31, (IF(C51="N", ('Project Wide Estimates'!$H$13+'Project Wide Estimates'!$F$13)*'Project Wide Estimates'!$E$31, (IF('Individual Parcel Estimate'!C51="I", ('Project Wide Estimates'!$H$14+'Project Wide Estimates'!$F$14)*'Project Wide Estimates'!$E$31, (IF('Individual Parcel Estimate'!C51="II", ('Project Wide Estimates'!$H$15+'Project Wide Estimates'!$F$15)*'Project Wide Estimates'!$E$31, (IF('Individual Parcel Estimate'!C51="M", ('Project Wide Estimates'!$H$16+'Project Wide Estimates'!$F$16)*'Project Wide Estimates'!$E$31, (IF('Individual Parcel Estimate'!C51="MI", ('Project Wide Estimates'!$H$17+'Project Wide Estimates'!$F$17)*'Project Wide Estimates'!$E$31, (IF('Individual Parcel Estimate'!C51="C", ('Project Wide Estimates'!$H$18+'Project Wide Estimates'!$F$18)*'Project Wide Estimates'!$E$31, (IF('Individual Parcel Estimate'!C51="CI", ('Project Wide Estimates'!$H$19+'Project Wide Estimates'!$F$19)*'Project Wide Estimates'!$E$31))))))))))))))))))</f>
        <v>0</v>
      </c>
      <c r="H51" s="116"/>
      <c r="I51" s="203" t="b">
        <f>(IF(H51="Consultant","enter manually",(IF(C51="W",('Project Wide Estimates'!$G$12+'Project Wide Estimates'!$I$12+'Project Wide Estimates'!$F$12)*'Project Wide Estimates'!$E$31,(IF(C51="N",('Project Wide Estimates'!$G$13+'Project Wide Estimates'!$I$13)*'Project Wide Estimates'!$E$31,(IF('Individual Parcel Estimate'!C51="I",'Project Wide Estimates'!$I$14*'Project Wide Estimates'!$E$31,(IF('Individual Parcel Estimate'!C51="II",'Project Wide Estimates'!$I$15*'Project Wide Estimates'!$E$31,(IF('Individual Parcel Estimate'!C51="M",'Project Wide Estimates'!$I$16*'Project Wide Estimates'!$E$31,(IF('Individual Parcel Estimate'!C51="MI",'Project Wide Estimates'!$I$17*'Project Wide Estimates'!$E$31,(IF('Individual Parcel Estimate'!C51="C",'Project Wide Estimates'!$I$18*'Project Wide Estimates'!$E$31,(IF('Individual Parcel Estimate'!C51="CI",'Project Wide Estimates'!$I$19*'Project Wide Estimates'!$E$31))))))))))))))))))</f>
        <v>0</v>
      </c>
      <c r="J51" s="116"/>
      <c r="K51" s="203" t="b">
        <f>(IF(J51="Consultant","enter manually",(IF(C51="W","na",(IF(C51="N","na",(IF(C51="I","na",(IF(C51="II",'Project Wide Estimates'!$J$15*'Project Wide Estimates'!$E$31,(IF('Individual Parcel Estimate'!C51="M","na",(IF('Individual Parcel Estimate'!C51="MI",'Project Wide Estimates'!$J$17*'Project Wide Estimates'!$E$31,(IF('Individual Parcel Estimate'!C51="C","na",(IF('Individual Parcel Estimate'!C51="CI",'Project Wide Estimates'!$J$19*'Project Wide Estimates'!$E$31))))))))))))))))))</f>
        <v>0</v>
      </c>
      <c r="L51" s="116"/>
      <c r="M51" s="203" t="b">
        <f>(IF(L51="Consultant","enter manually",(IF(C51="W","na",(IF(C51="N","na",(IF(C51="I","na",(IF(C51="II",'Project Wide Estimates'!$K$15*'Project Wide Estimates'!$E$31,(IF('Individual Parcel Estimate'!C51="M","na",(IF('Individual Parcel Estimate'!C51="MI",'Project Wide Estimates'!$K$17*'Project Wide Estimates'!$E$31,(IF('Individual Parcel Estimate'!C51="C","na",(IF('Individual Parcel Estimate'!C51="CI",'Project Wide Estimates'!$K$19*'Project Wide Estimates'!$E$31))))))))))))))))))</f>
        <v>0</v>
      </c>
      <c r="N51" s="218"/>
      <c r="O51" s="217"/>
      <c r="P51" s="203" t="b">
        <f>(IF(C51="W",('Project Wide Estimates'!$D$12+'Project Wide Estimates'!$E$12)*'Project Wide Estimates'!$E$31,(IF(C51="N",('Project Wide Estimates'!$D$13+'Project Wide Estimates'!$E$13)*'Project Wide Estimates'!$E$31,(IF('Individual Parcel Estimate'!C51="I",('Project Wide Estimates'!$D$14+'Project Wide Estimates'!$E$14)*'Project Wide Estimates'!$E$31,(IF('Individual Parcel Estimate'!C51="II",('Project Wide Estimates'!$D$15+'Project Wide Estimates'!$E$15)*'Project Wide Estimates'!$E$31,(IF('Individual Parcel Estimate'!C51="M",('Project Wide Estimates'!$D$16+'Project Wide Estimates'!$E$16)*'Project Wide Estimates'!$E$31,(IF('Individual Parcel Estimate'!C51="MI",('Project Wide Estimates'!$D$17+'Project Wide Estimates'!$E$17)*'Project Wide Estimates'!$E$31,(IF('Individual Parcel Estimate'!C51="C",('Project Wide Estimates'!$D$18+'Project Wide Estimates'!$E$18)*'Project Wide Estimates'!$E$31,(IF('Individual Parcel Estimate'!C51="CI",('Project Wide Estimates'!$D$19+'Project Wide Estimates'!$E$19)*'Project Wide Estimates'!$E$31))))))))))))))))</f>
        <v>0</v>
      </c>
      <c r="Q51" s="318"/>
      <c r="R51" s="116"/>
      <c r="S51" s="203" t="b">
        <f>(IF(U51="Agricultural 1",R51*'Project Wide Estimates'!$Q$15,(IF('Individual Parcel Estimate'!U51="Agricultural 2",'Individual Parcel Estimate'!R51*'Project Wide Estimates'!$Q$16,(IF('Individual Parcel Estimate'!U51="Residential 1",'Individual Parcel Estimate'!R51*'Project Wide Estimates'!$Q$17,(IF('Individual Parcel Estimate'!U51="Residential 2",'Individual Parcel Estimate'!R51*'Project Wide Estimates'!$Q$18,(IF('Individual Parcel Estimate'!U51="Commercial 1",'Individual Parcel Estimate'!R51*'Project Wide Estimates'!$Q$19,(IF('Individual Parcel Estimate'!U51="Commercial 2",'Individual Parcel Estimate'!R51*'Project Wide Estimates'!$Q$20,(IF('Individual Parcel Estimate'!U51="Industrial 1",'Individual Parcel Estimate'!R51*'Project Wide Estimates'!$Q$21,(IF('Individual Parcel Estimate'!U51="Industrial 2",'Individual Parcel Estimate'!R51*'Project Wide Estimates'!$Q$22,(IF('Individual Parcel Estimate'!U51="Other 1",'Individual Parcel Estimate'!R51*'Project Wide Estimates'!$Q$23,(IF('Individual Parcel Estimate'!U51="Other 2",'Individual Parcel Estimate'!R51*'Project Wide Estimates'!$Q$24))))))))))))))))))))</f>
        <v>0</v>
      </c>
      <c r="T51" s="231"/>
      <c r="U51" s="116"/>
      <c r="V51" s="116"/>
      <c r="W51" s="224"/>
      <c r="X51" s="116"/>
      <c r="Y51" s="203" t="b">
        <f>(IF(U51="Agricultural 1",X51*('Project Wide Estimates'!$Q$15*0.1),(IF('Individual Parcel Estimate'!U51="Agricultural 2",'Individual Parcel Estimate'!X51*('Project Wide Estimates'!$Q$16*0.1),(IF('Individual Parcel Estimate'!U51="Residential 1",'Individual Parcel Estimate'!X51*('Project Wide Estimates'!$Q$17*0.1),(IF('Individual Parcel Estimate'!U51="Residential 2",'Individual Parcel Estimate'!X51*('Project Wide Estimates'!$Q$18*0.1),(IF('Individual Parcel Estimate'!U51="Commercial 1",'Individual Parcel Estimate'!X51*('Project Wide Estimates'!$Q$19*0.1),(IF('Individual Parcel Estimate'!U51="Commercial 2",'Individual Parcel Estimate'!X51*('Project Wide Estimates'!$Q$20*0.1),(IF('Individual Parcel Estimate'!U51="Industrial 1",'Individual Parcel Estimate'!X51*('Project Wide Estimates'!$Q$21*0.1),(IF('Individual Parcel Estimate'!U51="Industrial 2",'Individual Parcel Estimate'!X51*('Project Wide Estimates'!$Q$22*0.1),(IF('Individual Parcel Estimate'!U51="Other 1",'Individual Parcel Estimate'!X51*('Project Wide Estimates'!$Q$23*0.1),(IF('Individual Parcel Estimate'!U51="Other 2",'Individual Parcel Estimate'!X51*('Project Wide Estimates'!$Q$24*0.1)))))))))))))))))))))</f>
        <v>0</v>
      </c>
      <c r="Z51" s="203" t="b">
        <f>(IF(U51="Agricultural 1",'Project Wide Estimates'!$Q$15*'Individual Parcel Estimate'!R51, (IF('Individual Parcel Estimate'!U51="Agricultural 2", 'Project Wide Estimates'!$Q$16*'Individual Parcel Estimate'!R51, (IF('Individual Parcel Estimate'!U51="Residential 1", 'Project Wide Estimates'!$Q$17*'Individual Parcel Estimate'!R51, (IF('Individual Parcel Estimate'!U51="Residential 2",'Project Wide Estimates'!$Q$18*'Individual Parcel Estimate'!R51, (IF('Individual Parcel Estimate'!U51="Commercial 1",'Project Wide Estimates'!$Q$19*'Individual Parcel Estimate'!R51, (IF('Individual Parcel Estimate'!U51="Commercial 2", 'Project Wide Estimates'!$Q$20*'Individual Parcel Estimate'!R51, (IF('Individual Parcel Estimate'!U51="Industrial 1", 'Project Wide Estimates'!$Q$21*'Individual Parcel Estimate'!R51, (IF('Individual Parcel Estimate'!U51="Industrial 2", 'Project Wide Estimates'!$Q$22*'Individual Parcel Estimate'!R51, (IF('Individual Parcel Estimate'!U51="Other 1", 'Project Wide Estimates'!$Q$23*'Individual Parcel Estimate'!R51, (IF('Individual Parcel Estimate'!U51="Other 2", 'Project Wide Estimates'!$Q$24*'Individual Parcel Estimate'!R51))))))))))))))))))))</f>
        <v>0</v>
      </c>
      <c r="AA51" s="222">
        <f t="shared" si="4"/>
        <v>0</v>
      </c>
      <c r="AB51" s="203" t="b">
        <f t="shared" si="9"/>
        <v>0</v>
      </c>
      <c r="AC51" s="218"/>
      <c r="AD51" s="218"/>
      <c r="AE51" s="219"/>
      <c r="AF51" s="217"/>
      <c r="AG51" s="217"/>
      <c r="AH51" s="217"/>
      <c r="AI51" s="217"/>
      <c r="AJ51" s="217"/>
      <c r="AK51" s="203">
        <f t="shared" si="10"/>
        <v>0</v>
      </c>
      <c r="AL51" s="203">
        <f t="shared" si="11"/>
        <v>0</v>
      </c>
      <c r="AM51" s="117"/>
      <c r="AN51" s="117"/>
      <c r="AO51" s="117"/>
      <c r="AP51" s="259">
        <f t="shared" si="5"/>
        <v>0</v>
      </c>
      <c r="AQ51" s="117"/>
    </row>
    <row r="52" spans="1:43">
      <c r="A52" s="114"/>
      <c r="B52" s="115"/>
      <c r="C52" s="116"/>
      <c r="D52" s="116"/>
      <c r="E52" s="116"/>
      <c r="F52" s="116"/>
      <c r="G52" s="203" t="b">
        <f>(IF(F52="Consultant", "enter manually", (IF(C52="W", 'Project Wide Estimates'!$H$12*'Project Wide Estimates'!$E$31, (IF(C52="N", ('Project Wide Estimates'!$H$13+'Project Wide Estimates'!$F$13)*'Project Wide Estimates'!$E$31, (IF('Individual Parcel Estimate'!C52="I", ('Project Wide Estimates'!$H$14+'Project Wide Estimates'!$F$14)*'Project Wide Estimates'!$E$31, (IF('Individual Parcel Estimate'!C52="II", ('Project Wide Estimates'!$H$15+'Project Wide Estimates'!$F$15)*'Project Wide Estimates'!$E$31, (IF('Individual Parcel Estimate'!C52="M", ('Project Wide Estimates'!$H$16+'Project Wide Estimates'!$F$16)*'Project Wide Estimates'!$E$31, (IF('Individual Parcel Estimate'!C52="MI", ('Project Wide Estimates'!$H$17+'Project Wide Estimates'!$F$17)*'Project Wide Estimates'!$E$31, (IF('Individual Parcel Estimate'!C52="C", ('Project Wide Estimates'!$H$18+'Project Wide Estimates'!$F$18)*'Project Wide Estimates'!$E$31, (IF('Individual Parcel Estimate'!C52="CI", ('Project Wide Estimates'!$H$19+'Project Wide Estimates'!$F$19)*'Project Wide Estimates'!$E$31))))))))))))))))))</f>
        <v>0</v>
      </c>
      <c r="H52" s="116"/>
      <c r="I52" s="203" t="b">
        <f>(IF(H52="Consultant","enter manually",(IF(C52="W",('Project Wide Estimates'!$G$12+'Project Wide Estimates'!$I$12+'Project Wide Estimates'!$F$12)*'Project Wide Estimates'!$E$31,(IF(C52="N",('Project Wide Estimates'!$G$13+'Project Wide Estimates'!$I$13)*'Project Wide Estimates'!$E$31,(IF('Individual Parcel Estimate'!C52="I",'Project Wide Estimates'!$I$14*'Project Wide Estimates'!$E$31,(IF('Individual Parcel Estimate'!C52="II",'Project Wide Estimates'!$I$15*'Project Wide Estimates'!$E$31,(IF('Individual Parcel Estimate'!C52="M",'Project Wide Estimates'!$I$16*'Project Wide Estimates'!$E$31,(IF('Individual Parcel Estimate'!C52="MI",'Project Wide Estimates'!$I$17*'Project Wide Estimates'!$E$31,(IF('Individual Parcel Estimate'!C52="C",'Project Wide Estimates'!$I$18*'Project Wide Estimates'!$E$31,(IF('Individual Parcel Estimate'!C52="CI",'Project Wide Estimates'!$I$19*'Project Wide Estimates'!$E$31))))))))))))))))))</f>
        <v>0</v>
      </c>
      <c r="J52" s="116"/>
      <c r="K52" s="203" t="b">
        <f>(IF(J52="Consultant","enter manually",(IF(C52="W","na",(IF(C52="N","na",(IF(C52="I","na",(IF(C52="II",'Project Wide Estimates'!$J$15*'Project Wide Estimates'!$E$31,(IF('Individual Parcel Estimate'!C52="M","na",(IF('Individual Parcel Estimate'!C52="MI",'Project Wide Estimates'!$J$17*'Project Wide Estimates'!$E$31,(IF('Individual Parcel Estimate'!C52="C","na",(IF('Individual Parcel Estimate'!C52="CI",'Project Wide Estimates'!$J$19*'Project Wide Estimates'!$E$31))))))))))))))))))</f>
        <v>0</v>
      </c>
      <c r="L52" s="116"/>
      <c r="M52" s="203" t="b">
        <f>(IF(L52="Consultant","enter manually",(IF(C52="W","na",(IF(C52="N","na",(IF(C52="I","na",(IF(C52="II",'Project Wide Estimates'!$K$15*'Project Wide Estimates'!$E$31,(IF('Individual Parcel Estimate'!C52="M","na",(IF('Individual Parcel Estimate'!C52="MI",'Project Wide Estimates'!$K$17*'Project Wide Estimates'!$E$31,(IF('Individual Parcel Estimate'!C52="C","na",(IF('Individual Parcel Estimate'!C52="CI",'Project Wide Estimates'!$K$19*'Project Wide Estimates'!$E$31))))))))))))))))))</f>
        <v>0</v>
      </c>
      <c r="N52" s="218"/>
      <c r="O52" s="217"/>
      <c r="P52" s="203" t="b">
        <f>(IF(C52="W",('Project Wide Estimates'!$D$12+'Project Wide Estimates'!$E$12)*'Project Wide Estimates'!$E$31,(IF(C52="N",('Project Wide Estimates'!$D$13+'Project Wide Estimates'!$E$13)*'Project Wide Estimates'!$E$31,(IF('Individual Parcel Estimate'!C52="I",('Project Wide Estimates'!$D$14+'Project Wide Estimates'!$E$14)*'Project Wide Estimates'!$E$31,(IF('Individual Parcel Estimate'!C52="II",('Project Wide Estimates'!$D$15+'Project Wide Estimates'!$E$15)*'Project Wide Estimates'!$E$31,(IF('Individual Parcel Estimate'!C52="M",('Project Wide Estimates'!$D$16+'Project Wide Estimates'!$E$16)*'Project Wide Estimates'!$E$31,(IF('Individual Parcel Estimate'!C52="MI",('Project Wide Estimates'!$D$17+'Project Wide Estimates'!$E$17)*'Project Wide Estimates'!$E$31,(IF('Individual Parcel Estimate'!C52="C",('Project Wide Estimates'!$D$18+'Project Wide Estimates'!$E$18)*'Project Wide Estimates'!$E$31,(IF('Individual Parcel Estimate'!C52="CI",('Project Wide Estimates'!$D$19+'Project Wide Estimates'!$E$19)*'Project Wide Estimates'!$E$31))))))))))))))))</f>
        <v>0</v>
      </c>
      <c r="Q52" s="318"/>
      <c r="R52" s="116"/>
      <c r="S52" s="203" t="b">
        <f>(IF(U52="Agricultural 1",R52*'Project Wide Estimates'!$Q$15,(IF('Individual Parcel Estimate'!U52="Agricultural 2",'Individual Parcel Estimate'!R52*'Project Wide Estimates'!$Q$16,(IF('Individual Parcel Estimate'!U52="Residential 1",'Individual Parcel Estimate'!R52*'Project Wide Estimates'!$Q$17,(IF('Individual Parcel Estimate'!U52="Residential 2",'Individual Parcel Estimate'!R52*'Project Wide Estimates'!$Q$18,(IF('Individual Parcel Estimate'!U52="Commercial 1",'Individual Parcel Estimate'!R52*'Project Wide Estimates'!$Q$19,(IF('Individual Parcel Estimate'!U52="Commercial 2",'Individual Parcel Estimate'!R52*'Project Wide Estimates'!$Q$20,(IF('Individual Parcel Estimate'!U52="Industrial 1",'Individual Parcel Estimate'!R52*'Project Wide Estimates'!$Q$21,(IF('Individual Parcel Estimate'!U52="Industrial 2",'Individual Parcel Estimate'!R52*'Project Wide Estimates'!$Q$22,(IF('Individual Parcel Estimate'!U52="Other 1",'Individual Parcel Estimate'!R52*'Project Wide Estimates'!$Q$23,(IF('Individual Parcel Estimate'!U52="Other 2",'Individual Parcel Estimate'!R52*'Project Wide Estimates'!$Q$24))))))))))))))))))))</f>
        <v>0</v>
      </c>
      <c r="T52" s="231"/>
      <c r="U52" s="116"/>
      <c r="V52" s="116"/>
      <c r="W52" s="224"/>
      <c r="X52" s="116"/>
      <c r="Y52" s="203" t="b">
        <f>(IF(U52="Agricultural 1",X52*('Project Wide Estimates'!$Q$15*0.1),(IF('Individual Parcel Estimate'!U52="Agricultural 2",'Individual Parcel Estimate'!X52*('Project Wide Estimates'!$Q$16*0.1),(IF('Individual Parcel Estimate'!U52="Residential 1",'Individual Parcel Estimate'!X52*('Project Wide Estimates'!$Q$17*0.1),(IF('Individual Parcel Estimate'!U52="Residential 2",'Individual Parcel Estimate'!X52*('Project Wide Estimates'!$Q$18*0.1),(IF('Individual Parcel Estimate'!U52="Commercial 1",'Individual Parcel Estimate'!X52*('Project Wide Estimates'!$Q$19*0.1),(IF('Individual Parcel Estimate'!U52="Commercial 2",'Individual Parcel Estimate'!X52*('Project Wide Estimates'!$Q$20*0.1),(IF('Individual Parcel Estimate'!U52="Industrial 1",'Individual Parcel Estimate'!X52*('Project Wide Estimates'!$Q$21*0.1),(IF('Individual Parcel Estimate'!U52="Industrial 2",'Individual Parcel Estimate'!X52*('Project Wide Estimates'!$Q$22*0.1),(IF('Individual Parcel Estimate'!U52="Other 1",'Individual Parcel Estimate'!X52*('Project Wide Estimates'!$Q$23*0.1),(IF('Individual Parcel Estimate'!U52="Other 2",'Individual Parcel Estimate'!X52*('Project Wide Estimates'!$Q$24*0.1)))))))))))))))))))))</f>
        <v>0</v>
      </c>
      <c r="Z52" s="203" t="b">
        <f>(IF(U52="Agricultural 1",'Project Wide Estimates'!$Q$15*'Individual Parcel Estimate'!R52, (IF('Individual Parcel Estimate'!U52="Agricultural 2", 'Project Wide Estimates'!$Q$16*'Individual Parcel Estimate'!R52, (IF('Individual Parcel Estimate'!U52="Residential 1", 'Project Wide Estimates'!$Q$17*'Individual Parcel Estimate'!R52, (IF('Individual Parcel Estimate'!U52="Residential 2",'Project Wide Estimates'!$Q$18*'Individual Parcel Estimate'!R52, (IF('Individual Parcel Estimate'!U52="Commercial 1",'Project Wide Estimates'!$Q$19*'Individual Parcel Estimate'!R52, (IF('Individual Parcel Estimate'!U52="Commercial 2", 'Project Wide Estimates'!$Q$20*'Individual Parcel Estimate'!R52, (IF('Individual Parcel Estimate'!U52="Industrial 1", 'Project Wide Estimates'!$Q$21*'Individual Parcel Estimate'!R52, (IF('Individual Parcel Estimate'!U52="Industrial 2", 'Project Wide Estimates'!$Q$22*'Individual Parcel Estimate'!R52, (IF('Individual Parcel Estimate'!U52="Other 1", 'Project Wide Estimates'!$Q$23*'Individual Parcel Estimate'!R52, (IF('Individual Parcel Estimate'!U52="Other 2", 'Project Wide Estimates'!$Q$24*'Individual Parcel Estimate'!R52))))))))))))))))))))</f>
        <v>0</v>
      </c>
      <c r="AA52" s="222">
        <f t="shared" si="4"/>
        <v>0</v>
      </c>
      <c r="AB52" s="203" t="b">
        <f t="shared" si="9"/>
        <v>0</v>
      </c>
      <c r="AC52" s="218"/>
      <c r="AD52" s="218"/>
      <c r="AE52" s="219"/>
      <c r="AF52" s="217"/>
      <c r="AG52" s="217"/>
      <c r="AH52" s="217"/>
      <c r="AI52" s="217"/>
      <c r="AJ52" s="217"/>
      <c r="AK52" s="203">
        <f t="shared" si="10"/>
        <v>0</v>
      </c>
      <c r="AL52" s="203">
        <f t="shared" si="11"/>
        <v>0</v>
      </c>
      <c r="AM52" s="117"/>
      <c r="AN52" s="117"/>
      <c r="AO52" s="117"/>
      <c r="AP52" s="259">
        <f t="shared" si="5"/>
        <v>0</v>
      </c>
      <c r="AQ52" s="117"/>
    </row>
    <row r="53" spans="1:43">
      <c r="A53" s="114"/>
      <c r="B53" s="115"/>
      <c r="C53" s="116"/>
      <c r="D53" s="116"/>
      <c r="E53" s="116"/>
      <c r="F53" s="116"/>
      <c r="G53" s="203" t="b">
        <f>(IF(F53="Consultant", "enter manually", (IF(C53="W", 'Project Wide Estimates'!$H$12*'Project Wide Estimates'!$E$31, (IF(C53="N", ('Project Wide Estimates'!$H$13+'Project Wide Estimates'!$F$13)*'Project Wide Estimates'!$E$31, (IF('Individual Parcel Estimate'!C53="I", ('Project Wide Estimates'!$H$14+'Project Wide Estimates'!$F$14)*'Project Wide Estimates'!$E$31, (IF('Individual Parcel Estimate'!C53="II", ('Project Wide Estimates'!$H$15+'Project Wide Estimates'!$F$15)*'Project Wide Estimates'!$E$31, (IF('Individual Parcel Estimate'!C53="M", ('Project Wide Estimates'!$H$16+'Project Wide Estimates'!$F$16)*'Project Wide Estimates'!$E$31, (IF('Individual Parcel Estimate'!C53="MI", ('Project Wide Estimates'!$H$17+'Project Wide Estimates'!$F$17)*'Project Wide Estimates'!$E$31, (IF('Individual Parcel Estimate'!C53="C", ('Project Wide Estimates'!$H$18+'Project Wide Estimates'!$F$18)*'Project Wide Estimates'!$E$31, (IF('Individual Parcel Estimate'!C53="CI", ('Project Wide Estimates'!$H$19+'Project Wide Estimates'!$F$19)*'Project Wide Estimates'!$E$31))))))))))))))))))</f>
        <v>0</v>
      </c>
      <c r="H53" s="116"/>
      <c r="I53" s="203" t="b">
        <f>(IF(H53="Consultant","enter manually",(IF(C53="W",('Project Wide Estimates'!$G$12+'Project Wide Estimates'!$I$12+'Project Wide Estimates'!$F$12)*'Project Wide Estimates'!$E$31,(IF(C53="N",('Project Wide Estimates'!$G$13+'Project Wide Estimates'!$I$13)*'Project Wide Estimates'!$E$31,(IF('Individual Parcel Estimate'!C53="I",'Project Wide Estimates'!$I$14*'Project Wide Estimates'!$E$31,(IF('Individual Parcel Estimate'!C53="II",'Project Wide Estimates'!$I$15*'Project Wide Estimates'!$E$31,(IF('Individual Parcel Estimate'!C53="M",'Project Wide Estimates'!$I$16*'Project Wide Estimates'!$E$31,(IF('Individual Parcel Estimate'!C53="MI",'Project Wide Estimates'!$I$17*'Project Wide Estimates'!$E$31,(IF('Individual Parcel Estimate'!C53="C",'Project Wide Estimates'!$I$18*'Project Wide Estimates'!$E$31,(IF('Individual Parcel Estimate'!C53="CI",'Project Wide Estimates'!$I$19*'Project Wide Estimates'!$E$31))))))))))))))))))</f>
        <v>0</v>
      </c>
      <c r="J53" s="116"/>
      <c r="K53" s="203" t="b">
        <f>(IF(J53="Consultant","enter manually",(IF(C53="W","na",(IF(C53="N","na",(IF(C53="I","na",(IF(C53="II",'Project Wide Estimates'!$J$15*'Project Wide Estimates'!$E$31,(IF('Individual Parcel Estimate'!C53="M","na",(IF('Individual Parcel Estimate'!C53="MI",'Project Wide Estimates'!$J$17*'Project Wide Estimates'!$E$31,(IF('Individual Parcel Estimate'!C53="C","na",(IF('Individual Parcel Estimate'!C53="CI",'Project Wide Estimates'!$J$19*'Project Wide Estimates'!$E$31))))))))))))))))))</f>
        <v>0</v>
      </c>
      <c r="L53" s="116"/>
      <c r="M53" s="203" t="b">
        <f>(IF(L53="Consultant","enter manually",(IF(C53="W","na",(IF(C53="N","na",(IF(C53="I","na",(IF(C53="II",'Project Wide Estimates'!$K$15*'Project Wide Estimates'!$E$31,(IF('Individual Parcel Estimate'!C53="M","na",(IF('Individual Parcel Estimate'!C53="MI",'Project Wide Estimates'!$K$17*'Project Wide Estimates'!$E$31,(IF('Individual Parcel Estimate'!C53="C","na",(IF('Individual Parcel Estimate'!C53="CI",'Project Wide Estimates'!$K$19*'Project Wide Estimates'!$E$31))))))))))))))))))</f>
        <v>0</v>
      </c>
      <c r="N53" s="218"/>
      <c r="O53" s="217"/>
      <c r="P53" s="203" t="b">
        <f>(IF(C53="W",('Project Wide Estimates'!$D$12+'Project Wide Estimates'!$E$12)*'Project Wide Estimates'!$E$31,(IF(C53="N",('Project Wide Estimates'!$D$13+'Project Wide Estimates'!$E$13)*'Project Wide Estimates'!$E$31,(IF('Individual Parcel Estimate'!C53="I",('Project Wide Estimates'!$D$14+'Project Wide Estimates'!$E$14)*'Project Wide Estimates'!$E$31,(IF('Individual Parcel Estimate'!C53="II",('Project Wide Estimates'!$D$15+'Project Wide Estimates'!$E$15)*'Project Wide Estimates'!$E$31,(IF('Individual Parcel Estimate'!C53="M",('Project Wide Estimates'!$D$16+'Project Wide Estimates'!$E$16)*'Project Wide Estimates'!$E$31,(IF('Individual Parcel Estimate'!C53="MI",('Project Wide Estimates'!$D$17+'Project Wide Estimates'!$E$17)*'Project Wide Estimates'!$E$31,(IF('Individual Parcel Estimate'!C53="C",('Project Wide Estimates'!$D$18+'Project Wide Estimates'!$E$18)*'Project Wide Estimates'!$E$31,(IF('Individual Parcel Estimate'!C53="CI",('Project Wide Estimates'!$D$19+'Project Wide Estimates'!$E$19)*'Project Wide Estimates'!$E$31))))))))))))))))</f>
        <v>0</v>
      </c>
      <c r="Q53" s="318"/>
      <c r="R53" s="116"/>
      <c r="S53" s="203" t="b">
        <f>(IF(U53="Agricultural 1",R53*'Project Wide Estimates'!$Q$15,(IF('Individual Parcel Estimate'!U53="Agricultural 2",'Individual Parcel Estimate'!R53*'Project Wide Estimates'!$Q$16,(IF('Individual Parcel Estimate'!U53="Residential 1",'Individual Parcel Estimate'!R53*'Project Wide Estimates'!$Q$17,(IF('Individual Parcel Estimate'!U53="Residential 2",'Individual Parcel Estimate'!R53*'Project Wide Estimates'!$Q$18,(IF('Individual Parcel Estimate'!U53="Commercial 1",'Individual Parcel Estimate'!R53*'Project Wide Estimates'!$Q$19,(IF('Individual Parcel Estimate'!U53="Commercial 2",'Individual Parcel Estimate'!R53*'Project Wide Estimates'!$Q$20,(IF('Individual Parcel Estimate'!U53="Industrial 1",'Individual Parcel Estimate'!R53*'Project Wide Estimates'!$Q$21,(IF('Individual Parcel Estimate'!U53="Industrial 2",'Individual Parcel Estimate'!R53*'Project Wide Estimates'!$Q$22,(IF('Individual Parcel Estimate'!U53="Other 1",'Individual Parcel Estimate'!R53*'Project Wide Estimates'!$Q$23,(IF('Individual Parcel Estimate'!U53="Other 2",'Individual Parcel Estimate'!R53*'Project Wide Estimates'!$Q$24))))))))))))))))))))</f>
        <v>0</v>
      </c>
      <c r="T53" s="231"/>
      <c r="U53" s="116"/>
      <c r="V53" s="116"/>
      <c r="W53" s="224"/>
      <c r="X53" s="116"/>
      <c r="Y53" s="203" t="b">
        <f>(IF(U53="Agricultural 1",X53*('Project Wide Estimates'!$Q$15*0.1),(IF('Individual Parcel Estimate'!U53="Agricultural 2",'Individual Parcel Estimate'!X53*('Project Wide Estimates'!$Q$16*0.1),(IF('Individual Parcel Estimate'!U53="Residential 1",'Individual Parcel Estimate'!X53*('Project Wide Estimates'!$Q$17*0.1),(IF('Individual Parcel Estimate'!U53="Residential 2",'Individual Parcel Estimate'!X53*('Project Wide Estimates'!$Q$18*0.1),(IF('Individual Parcel Estimate'!U53="Commercial 1",'Individual Parcel Estimate'!X53*('Project Wide Estimates'!$Q$19*0.1),(IF('Individual Parcel Estimate'!U53="Commercial 2",'Individual Parcel Estimate'!X53*('Project Wide Estimates'!$Q$20*0.1),(IF('Individual Parcel Estimate'!U53="Industrial 1",'Individual Parcel Estimate'!X53*('Project Wide Estimates'!$Q$21*0.1),(IF('Individual Parcel Estimate'!U53="Industrial 2",'Individual Parcel Estimate'!X53*('Project Wide Estimates'!$Q$22*0.1),(IF('Individual Parcel Estimate'!U53="Other 1",'Individual Parcel Estimate'!X53*('Project Wide Estimates'!$Q$23*0.1),(IF('Individual Parcel Estimate'!U53="Other 2",'Individual Parcel Estimate'!X53*('Project Wide Estimates'!$Q$24*0.1)))))))))))))))))))))</f>
        <v>0</v>
      </c>
      <c r="Z53" s="203" t="b">
        <f>(IF(U53="Agricultural 1",'Project Wide Estimates'!$Q$15*'Individual Parcel Estimate'!R53, (IF('Individual Parcel Estimate'!U53="Agricultural 2", 'Project Wide Estimates'!$Q$16*'Individual Parcel Estimate'!R53, (IF('Individual Parcel Estimate'!U53="Residential 1", 'Project Wide Estimates'!$Q$17*'Individual Parcel Estimate'!R53, (IF('Individual Parcel Estimate'!U53="Residential 2",'Project Wide Estimates'!$Q$18*'Individual Parcel Estimate'!R53, (IF('Individual Parcel Estimate'!U53="Commercial 1",'Project Wide Estimates'!$Q$19*'Individual Parcel Estimate'!R53, (IF('Individual Parcel Estimate'!U53="Commercial 2", 'Project Wide Estimates'!$Q$20*'Individual Parcel Estimate'!R53, (IF('Individual Parcel Estimate'!U53="Industrial 1", 'Project Wide Estimates'!$Q$21*'Individual Parcel Estimate'!R53, (IF('Individual Parcel Estimate'!U53="Industrial 2", 'Project Wide Estimates'!$Q$22*'Individual Parcel Estimate'!R53, (IF('Individual Parcel Estimate'!U53="Other 1", 'Project Wide Estimates'!$Q$23*'Individual Parcel Estimate'!R53, (IF('Individual Parcel Estimate'!U53="Other 2", 'Project Wide Estimates'!$Q$24*'Individual Parcel Estimate'!R53))))))))))))))))))))</f>
        <v>0</v>
      </c>
      <c r="AA53" s="222">
        <f t="shared" si="4"/>
        <v>0</v>
      </c>
      <c r="AB53" s="203" t="b">
        <f t="shared" si="9"/>
        <v>0</v>
      </c>
      <c r="AC53" s="218"/>
      <c r="AD53" s="218"/>
      <c r="AE53" s="219"/>
      <c r="AF53" s="217"/>
      <c r="AG53" s="217"/>
      <c r="AH53" s="217"/>
      <c r="AI53" s="217"/>
      <c r="AJ53" s="217"/>
      <c r="AK53" s="203">
        <f t="shared" si="10"/>
        <v>0</v>
      </c>
      <c r="AL53" s="203">
        <f t="shared" si="11"/>
        <v>0</v>
      </c>
      <c r="AM53" s="117"/>
      <c r="AN53" s="117"/>
      <c r="AO53" s="117"/>
      <c r="AP53" s="259">
        <f t="shared" si="5"/>
        <v>0</v>
      </c>
      <c r="AQ53" s="117"/>
    </row>
    <row r="54" spans="1:43">
      <c r="A54" s="114"/>
      <c r="B54" s="115"/>
      <c r="C54" s="116"/>
      <c r="D54" s="116"/>
      <c r="E54" s="116"/>
      <c r="F54" s="116"/>
      <c r="G54" s="203" t="b">
        <f>(IF(F54="Consultant", "enter manually", (IF(C54="W", 'Project Wide Estimates'!$H$12*'Project Wide Estimates'!$E$31, (IF(C54="N", ('Project Wide Estimates'!$H$13+'Project Wide Estimates'!$F$13)*'Project Wide Estimates'!$E$31, (IF('Individual Parcel Estimate'!C54="I", ('Project Wide Estimates'!$H$14+'Project Wide Estimates'!$F$14)*'Project Wide Estimates'!$E$31, (IF('Individual Parcel Estimate'!C54="II", ('Project Wide Estimates'!$H$15+'Project Wide Estimates'!$F$15)*'Project Wide Estimates'!$E$31, (IF('Individual Parcel Estimate'!C54="M", ('Project Wide Estimates'!$H$16+'Project Wide Estimates'!$F$16)*'Project Wide Estimates'!$E$31, (IF('Individual Parcel Estimate'!C54="MI", ('Project Wide Estimates'!$H$17+'Project Wide Estimates'!$F$17)*'Project Wide Estimates'!$E$31, (IF('Individual Parcel Estimate'!C54="C", ('Project Wide Estimates'!$H$18+'Project Wide Estimates'!$F$18)*'Project Wide Estimates'!$E$31, (IF('Individual Parcel Estimate'!C54="CI", ('Project Wide Estimates'!$H$19+'Project Wide Estimates'!$F$19)*'Project Wide Estimates'!$E$31))))))))))))))))))</f>
        <v>0</v>
      </c>
      <c r="H54" s="116"/>
      <c r="I54" s="203" t="b">
        <f>(IF(H54="Consultant","enter manually",(IF(C54="W",('Project Wide Estimates'!$G$12+'Project Wide Estimates'!$I$12+'Project Wide Estimates'!$F$12)*'Project Wide Estimates'!$E$31,(IF(C54="N",('Project Wide Estimates'!$G$13+'Project Wide Estimates'!$I$13)*'Project Wide Estimates'!$E$31,(IF('Individual Parcel Estimate'!C54="I",'Project Wide Estimates'!$I$14*'Project Wide Estimates'!$E$31,(IF('Individual Parcel Estimate'!C54="II",'Project Wide Estimates'!$I$15*'Project Wide Estimates'!$E$31,(IF('Individual Parcel Estimate'!C54="M",'Project Wide Estimates'!$I$16*'Project Wide Estimates'!$E$31,(IF('Individual Parcel Estimate'!C54="MI",'Project Wide Estimates'!$I$17*'Project Wide Estimates'!$E$31,(IF('Individual Parcel Estimate'!C54="C",'Project Wide Estimates'!$I$18*'Project Wide Estimates'!$E$31,(IF('Individual Parcel Estimate'!C54="CI",'Project Wide Estimates'!$I$19*'Project Wide Estimates'!$E$31))))))))))))))))))</f>
        <v>0</v>
      </c>
      <c r="J54" s="116"/>
      <c r="K54" s="203" t="b">
        <f>(IF(J54="Consultant","enter manually",(IF(C54="W","na",(IF(C54="N","na",(IF(C54="I","na",(IF(C54="II",'Project Wide Estimates'!$J$15*'Project Wide Estimates'!$E$31,(IF('Individual Parcel Estimate'!C54="M","na",(IF('Individual Parcel Estimate'!C54="MI",'Project Wide Estimates'!$J$17*'Project Wide Estimates'!$E$31,(IF('Individual Parcel Estimate'!C54="C","na",(IF('Individual Parcel Estimate'!C54="CI",'Project Wide Estimates'!$J$19*'Project Wide Estimates'!$E$31))))))))))))))))))</f>
        <v>0</v>
      </c>
      <c r="L54" s="116"/>
      <c r="M54" s="203" t="b">
        <f>(IF(L54="Consultant","enter manually",(IF(C54="W","na",(IF(C54="N","na",(IF(C54="I","na",(IF(C54="II",'Project Wide Estimates'!$K$15*'Project Wide Estimates'!$E$31,(IF('Individual Parcel Estimate'!C54="M","na",(IF('Individual Parcel Estimate'!C54="MI",'Project Wide Estimates'!$K$17*'Project Wide Estimates'!$E$31,(IF('Individual Parcel Estimate'!C54="C","na",(IF('Individual Parcel Estimate'!C54="CI",'Project Wide Estimates'!$K$19*'Project Wide Estimates'!$E$31))))))))))))))))))</f>
        <v>0</v>
      </c>
      <c r="N54" s="218"/>
      <c r="O54" s="217"/>
      <c r="P54" s="203" t="b">
        <f>(IF(C54="W",('Project Wide Estimates'!$D$12+'Project Wide Estimates'!$E$12)*'Project Wide Estimates'!$E$31,(IF(C54="N",('Project Wide Estimates'!$D$13+'Project Wide Estimates'!$E$13)*'Project Wide Estimates'!$E$31,(IF('Individual Parcel Estimate'!C54="I",('Project Wide Estimates'!$D$14+'Project Wide Estimates'!$E$14)*'Project Wide Estimates'!$E$31,(IF('Individual Parcel Estimate'!C54="II",('Project Wide Estimates'!$D$15+'Project Wide Estimates'!$E$15)*'Project Wide Estimates'!$E$31,(IF('Individual Parcel Estimate'!C54="M",('Project Wide Estimates'!$D$16+'Project Wide Estimates'!$E$16)*'Project Wide Estimates'!$E$31,(IF('Individual Parcel Estimate'!C54="MI",('Project Wide Estimates'!$D$17+'Project Wide Estimates'!$E$17)*'Project Wide Estimates'!$E$31,(IF('Individual Parcel Estimate'!C54="C",('Project Wide Estimates'!$D$18+'Project Wide Estimates'!$E$18)*'Project Wide Estimates'!$E$31,(IF('Individual Parcel Estimate'!C54="CI",('Project Wide Estimates'!$D$19+'Project Wide Estimates'!$E$19)*'Project Wide Estimates'!$E$31))))))))))))))))</f>
        <v>0</v>
      </c>
      <c r="Q54" s="318"/>
      <c r="R54" s="116"/>
      <c r="S54" s="203" t="b">
        <f>(IF(U54="Agricultural 1",R54*'Project Wide Estimates'!$Q$15,(IF('Individual Parcel Estimate'!U54="Agricultural 2",'Individual Parcel Estimate'!R54*'Project Wide Estimates'!$Q$16,(IF('Individual Parcel Estimate'!U54="Residential 1",'Individual Parcel Estimate'!R54*'Project Wide Estimates'!$Q$17,(IF('Individual Parcel Estimate'!U54="Residential 2",'Individual Parcel Estimate'!R54*'Project Wide Estimates'!$Q$18,(IF('Individual Parcel Estimate'!U54="Commercial 1",'Individual Parcel Estimate'!R54*'Project Wide Estimates'!$Q$19,(IF('Individual Parcel Estimate'!U54="Commercial 2",'Individual Parcel Estimate'!R54*'Project Wide Estimates'!$Q$20,(IF('Individual Parcel Estimate'!U54="Industrial 1",'Individual Parcel Estimate'!R54*'Project Wide Estimates'!$Q$21,(IF('Individual Parcel Estimate'!U54="Industrial 2",'Individual Parcel Estimate'!R54*'Project Wide Estimates'!$Q$22,(IF('Individual Parcel Estimate'!U54="Other 1",'Individual Parcel Estimate'!R54*'Project Wide Estimates'!$Q$23,(IF('Individual Parcel Estimate'!U54="Other 2",'Individual Parcel Estimate'!R54*'Project Wide Estimates'!$Q$24))))))))))))))))))))</f>
        <v>0</v>
      </c>
      <c r="T54" s="231"/>
      <c r="U54" s="116"/>
      <c r="V54" s="116"/>
      <c r="W54" s="224"/>
      <c r="X54" s="116"/>
      <c r="Y54" s="203" t="b">
        <f>(IF(U54="Agricultural 1",X54*('Project Wide Estimates'!$Q$15*0.1),(IF('Individual Parcel Estimate'!U54="Agricultural 2",'Individual Parcel Estimate'!X54*('Project Wide Estimates'!$Q$16*0.1),(IF('Individual Parcel Estimate'!U54="Residential 1",'Individual Parcel Estimate'!X54*('Project Wide Estimates'!$Q$17*0.1),(IF('Individual Parcel Estimate'!U54="Residential 2",'Individual Parcel Estimate'!X54*('Project Wide Estimates'!$Q$18*0.1),(IF('Individual Parcel Estimate'!U54="Commercial 1",'Individual Parcel Estimate'!X54*('Project Wide Estimates'!$Q$19*0.1),(IF('Individual Parcel Estimate'!U54="Commercial 2",'Individual Parcel Estimate'!X54*('Project Wide Estimates'!$Q$20*0.1),(IF('Individual Parcel Estimate'!U54="Industrial 1",'Individual Parcel Estimate'!X54*('Project Wide Estimates'!$Q$21*0.1),(IF('Individual Parcel Estimate'!U54="Industrial 2",'Individual Parcel Estimate'!X54*('Project Wide Estimates'!$Q$22*0.1),(IF('Individual Parcel Estimate'!U54="Other 1",'Individual Parcel Estimate'!X54*('Project Wide Estimates'!$Q$23*0.1),(IF('Individual Parcel Estimate'!U54="Other 2",'Individual Parcel Estimate'!X54*('Project Wide Estimates'!$Q$24*0.1)))))))))))))))))))))</f>
        <v>0</v>
      </c>
      <c r="Z54" s="203" t="b">
        <f>(IF(U54="Agricultural 1",'Project Wide Estimates'!$Q$15*'Individual Parcel Estimate'!R54, (IF('Individual Parcel Estimate'!U54="Agricultural 2", 'Project Wide Estimates'!$Q$16*'Individual Parcel Estimate'!R54, (IF('Individual Parcel Estimate'!U54="Residential 1", 'Project Wide Estimates'!$Q$17*'Individual Parcel Estimate'!R54, (IF('Individual Parcel Estimate'!U54="Residential 2",'Project Wide Estimates'!$Q$18*'Individual Parcel Estimate'!R54, (IF('Individual Parcel Estimate'!U54="Commercial 1",'Project Wide Estimates'!$Q$19*'Individual Parcel Estimate'!R54, (IF('Individual Parcel Estimate'!U54="Commercial 2", 'Project Wide Estimates'!$Q$20*'Individual Parcel Estimate'!R54, (IF('Individual Parcel Estimate'!U54="Industrial 1", 'Project Wide Estimates'!$Q$21*'Individual Parcel Estimate'!R54, (IF('Individual Parcel Estimate'!U54="Industrial 2", 'Project Wide Estimates'!$Q$22*'Individual Parcel Estimate'!R54, (IF('Individual Parcel Estimate'!U54="Other 1", 'Project Wide Estimates'!$Q$23*'Individual Parcel Estimate'!R54, (IF('Individual Parcel Estimate'!U54="Other 2", 'Project Wide Estimates'!$Q$24*'Individual Parcel Estimate'!R54))))))))))))))))))))</f>
        <v>0</v>
      </c>
      <c r="AA54" s="222">
        <f t="shared" si="4"/>
        <v>0</v>
      </c>
      <c r="AB54" s="203" t="b">
        <f t="shared" si="9"/>
        <v>0</v>
      </c>
      <c r="AC54" s="218"/>
      <c r="AD54" s="218"/>
      <c r="AE54" s="219"/>
      <c r="AF54" s="217"/>
      <c r="AG54" s="217"/>
      <c r="AH54" s="217"/>
      <c r="AI54" s="217"/>
      <c r="AJ54" s="217"/>
      <c r="AK54" s="203">
        <f t="shared" si="10"/>
        <v>0</v>
      </c>
      <c r="AL54" s="203">
        <f t="shared" si="11"/>
        <v>0</v>
      </c>
      <c r="AM54" s="117"/>
      <c r="AN54" s="117"/>
      <c r="AO54" s="117"/>
      <c r="AP54" s="259">
        <f t="shared" si="5"/>
        <v>0</v>
      </c>
      <c r="AQ54" s="117"/>
    </row>
    <row r="55" spans="1:43">
      <c r="A55" s="114"/>
      <c r="B55" s="115"/>
      <c r="C55" s="116"/>
      <c r="D55" s="116"/>
      <c r="E55" s="116"/>
      <c r="F55" s="116"/>
      <c r="G55" s="203" t="b">
        <f>(IF(F55="Consultant", "enter manually", (IF(C55="W", 'Project Wide Estimates'!$H$12*'Project Wide Estimates'!$E$31, (IF(C55="N", ('Project Wide Estimates'!$H$13+'Project Wide Estimates'!$F$13)*'Project Wide Estimates'!$E$31, (IF('Individual Parcel Estimate'!C55="I", ('Project Wide Estimates'!$H$14+'Project Wide Estimates'!$F$14)*'Project Wide Estimates'!$E$31, (IF('Individual Parcel Estimate'!C55="II", ('Project Wide Estimates'!$H$15+'Project Wide Estimates'!$F$15)*'Project Wide Estimates'!$E$31, (IF('Individual Parcel Estimate'!C55="M", ('Project Wide Estimates'!$H$16+'Project Wide Estimates'!$F$16)*'Project Wide Estimates'!$E$31, (IF('Individual Parcel Estimate'!C55="MI", ('Project Wide Estimates'!$H$17+'Project Wide Estimates'!$F$17)*'Project Wide Estimates'!$E$31, (IF('Individual Parcel Estimate'!C55="C", ('Project Wide Estimates'!$H$18+'Project Wide Estimates'!$F$18)*'Project Wide Estimates'!$E$31, (IF('Individual Parcel Estimate'!C55="CI", ('Project Wide Estimates'!$H$19+'Project Wide Estimates'!$F$19)*'Project Wide Estimates'!$E$31))))))))))))))))))</f>
        <v>0</v>
      </c>
      <c r="H55" s="116"/>
      <c r="I55" s="203" t="b">
        <f>(IF(H55="Consultant","enter manually",(IF(C55="W",('Project Wide Estimates'!$G$12+'Project Wide Estimates'!$I$12+'Project Wide Estimates'!$F$12)*'Project Wide Estimates'!$E$31,(IF(C55="N",('Project Wide Estimates'!$G$13+'Project Wide Estimates'!$I$13)*'Project Wide Estimates'!$E$31,(IF('Individual Parcel Estimate'!C55="I",'Project Wide Estimates'!$I$14*'Project Wide Estimates'!$E$31,(IF('Individual Parcel Estimate'!C55="II",'Project Wide Estimates'!$I$15*'Project Wide Estimates'!$E$31,(IF('Individual Parcel Estimate'!C55="M",'Project Wide Estimates'!$I$16*'Project Wide Estimates'!$E$31,(IF('Individual Parcel Estimate'!C55="MI",'Project Wide Estimates'!$I$17*'Project Wide Estimates'!$E$31,(IF('Individual Parcel Estimate'!C55="C",'Project Wide Estimates'!$I$18*'Project Wide Estimates'!$E$31,(IF('Individual Parcel Estimate'!C55="CI",'Project Wide Estimates'!$I$19*'Project Wide Estimates'!$E$31))))))))))))))))))</f>
        <v>0</v>
      </c>
      <c r="J55" s="116"/>
      <c r="K55" s="203" t="b">
        <f>(IF(J55="Consultant","enter manually",(IF(C55="W","na",(IF(C55="N","na",(IF(C55="I","na",(IF(C55="II",'Project Wide Estimates'!$J$15*'Project Wide Estimates'!$E$31,(IF('Individual Parcel Estimate'!C55="M","na",(IF('Individual Parcel Estimate'!C55="MI",'Project Wide Estimates'!$J$17*'Project Wide Estimates'!$E$31,(IF('Individual Parcel Estimate'!C55="C","na",(IF('Individual Parcel Estimate'!C55="CI",'Project Wide Estimates'!$J$19*'Project Wide Estimates'!$E$31))))))))))))))))))</f>
        <v>0</v>
      </c>
      <c r="L55" s="116"/>
      <c r="M55" s="203" t="b">
        <f>(IF(L55="Consultant","enter manually",(IF(C55="W","na",(IF(C55="N","na",(IF(C55="I","na",(IF(C55="II",'Project Wide Estimates'!$K$15*'Project Wide Estimates'!$E$31,(IF('Individual Parcel Estimate'!C55="M","na",(IF('Individual Parcel Estimate'!C55="MI",'Project Wide Estimates'!$K$17*'Project Wide Estimates'!$E$31,(IF('Individual Parcel Estimate'!C55="C","na",(IF('Individual Parcel Estimate'!C55="CI",'Project Wide Estimates'!$K$19*'Project Wide Estimates'!$E$31))))))))))))))))))</f>
        <v>0</v>
      </c>
      <c r="N55" s="218"/>
      <c r="O55" s="217"/>
      <c r="P55" s="203" t="b">
        <f>(IF(C55="W",('Project Wide Estimates'!$D$12+'Project Wide Estimates'!$E$12)*'Project Wide Estimates'!$E$31,(IF(C55="N",('Project Wide Estimates'!$D$13+'Project Wide Estimates'!$E$13)*'Project Wide Estimates'!$E$31,(IF('Individual Parcel Estimate'!C55="I",('Project Wide Estimates'!$D$14+'Project Wide Estimates'!$E$14)*'Project Wide Estimates'!$E$31,(IF('Individual Parcel Estimate'!C55="II",('Project Wide Estimates'!$D$15+'Project Wide Estimates'!$E$15)*'Project Wide Estimates'!$E$31,(IF('Individual Parcel Estimate'!C55="M",('Project Wide Estimates'!$D$16+'Project Wide Estimates'!$E$16)*'Project Wide Estimates'!$E$31,(IF('Individual Parcel Estimate'!C55="MI",('Project Wide Estimates'!$D$17+'Project Wide Estimates'!$E$17)*'Project Wide Estimates'!$E$31,(IF('Individual Parcel Estimate'!C55="C",('Project Wide Estimates'!$D$18+'Project Wide Estimates'!$E$18)*'Project Wide Estimates'!$E$31,(IF('Individual Parcel Estimate'!C55="CI",('Project Wide Estimates'!$D$19+'Project Wide Estimates'!$E$19)*'Project Wide Estimates'!$E$31))))))))))))))))</f>
        <v>0</v>
      </c>
      <c r="Q55" s="318"/>
      <c r="R55" s="116"/>
      <c r="S55" s="203" t="b">
        <f>(IF(U55="Agricultural 1",R55*'Project Wide Estimates'!$Q$15,(IF('Individual Parcel Estimate'!U55="Agricultural 2",'Individual Parcel Estimate'!R55*'Project Wide Estimates'!$Q$16,(IF('Individual Parcel Estimate'!U55="Residential 1",'Individual Parcel Estimate'!R55*'Project Wide Estimates'!$Q$17,(IF('Individual Parcel Estimate'!U55="Residential 2",'Individual Parcel Estimate'!R55*'Project Wide Estimates'!$Q$18,(IF('Individual Parcel Estimate'!U55="Commercial 1",'Individual Parcel Estimate'!R55*'Project Wide Estimates'!$Q$19,(IF('Individual Parcel Estimate'!U55="Commercial 2",'Individual Parcel Estimate'!R55*'Project Wide Estimates'!$Q$20,(IF('Individual Parcel Estimate'!U55="Industrial 1",'Individual Parcel Estimate'!R55*'Project Wide Estimates'!$Q$21,(IF('Individual Parcel Estimate'!U55="Industrial 2",'Individual Parcel Estimate'!R55*'Project Wide Estimates'!$Q$22,(IF('Individual Parcel Estimate'!U55="Other 1",'Individual Parcel Estimate'!R55*'Project Wide Estimates'!$Q$23,(IF('Individual Parcel Estimate'!U55="Other 2",'Individual Parcel Estimate'!R55*'Project Wide Estimates'!$Q$24))))))))))))))))))))</f>
        <v>0</v>
      </c>
      <c r="T55" s="231"/>
      <c r="U55" s="116"/>
      <c r="V55" s="116"/>
      <c r="W55" s="224"/>
      <c r="X55" s="116"/>
      <c r="Y55" s="203" t="b">
        <f>(IF(U55="Agricultural 1",X55*('Project Wide Estimates'!$Q$15*0.1),(IF('Individual Parcel Estimate'!U55="Agricultural 2",'Individual Parcel Estimate'!X55*('Project Wide Estimates'!$Q$16*0.1),(IF('Individual Parcel Estimate'!U55="Residential 1",'Individual Parcel Estimate'!X55*('Project Wide Estimates'!$Q$17*0.1),(IF('Individual Parcel Estimate'!U55="Residential 2",'Individual Parcel Estimate'!X55*('Project Wide Estimates'!$Q$18*0.1),(IF('Individual Parcel Estimate'!U55="Commercial 1",'Individual Parcel Estimate'!X55*('Project Wide Estimates'!$Q$19*0.1),(IF('Individual Parcel Estimate'!U55="Commercial 2",'Individual Parcel Estimate'!X55*('Project Wide Estimates'!$Q$20*0.1),(IF('Individual Parcel Estimate'!U55="Industrial 1",'Individual Parcel Estimate'!X55*('Project Wide Estimates'!$Q$21*0.1),(IF('Individual Parcel Estimate'!U55="Industrial 2",'Individual Parcel Estimate'!X55*('Project Wide Estimates'!$Q$22*0.1),(IF('Individual Parcel Estimate'!U55="Other 1",'Individual Parcel Estimate'!X55*('Project Wide Estimates'!$Q$23*0.1),(IF('Individual Parcel Estimate'!U55="Other 2",'Individual Parcel Estimate'!X55*('Project Wide Estimates'!$Q$24*0.1)))))))))))))))))))))</f>
        <v>0</v>
      </c>
      <c r="Z55" s="203" t="b">
        <f>(IF(U55="Agricultural 1",'Project Wide Estimates'!$Q$15*'Individual Parcel Estimate'!R55, (IF('Individual Parcel Estimate'!U55="Agricultural 2", 'Project Wide Estimates'!$Q$16*'Individual Parcel Estimate'!R55, (IF('Individual Parcel Estimate'!U55="Residential 1", 'Project Wide Estimates'!$Q$17*'Individual Parcel Estimate'!R55, (IF('Individual Parcel Estimate'!U55="Residential 2",'Project Wide Estimates'!$Q$18*'Individual Parcel Estimate'!R55, (IF('Individual Parcel Estimate'!U55="Commercial 1",'Project Wide Estimates'!$Q$19*'Individual Parcel Estimate'!R55, (IF('Individual Parcel Estimate'!U55="Commercial 2", 'Project Wide Estimates'!$Q$20*'Individual Parcel Estimate'!R55, (IF('Individual Parcel Estimate'!U55="Industrial 1", 'Project Wide Estimates'!$Q$21*'Individual Parcel Estimate'!R55, (IF('Individual Parcel Estimate'!U55="Industrial 2", 'Project Wide Estimates'!$Q$22*'Individual Parcel Estimate'!R55, (IF('Individual Parcel Estimate'!U55="Other 1", 'Project Wide Estimates'!$Q$23*'Individual Parcel Estimate'!R55, (IF('Individual Parcel Estimate'!U55="Other 2", 'Project Wide Estimates'!$Q$24*'Individual Parcel Estimate'!R55))))))))))))))))))))</f>
        <v>0</v>
      </c>
      <c r="AA55" s="222">
        <f t="shared" si="4"/>
        <v>0</v>
      </c>
      <c r="AB55" s="203" t="b">
        <f t="shared" si="9"/>
        <v>0</v>
      </c>
      <c r="AC55" s="218"/>
      <c r="AD55" s="218"/>
      <c r="AE55" s="219"/>
      <c r="AF55" s="217"/>
      <c r="AG55" s="217"/>
      <c r="AH55" s="217"/>
      <c r="AI55" s="217"/>
      <c r="AJ55" s="217"/>
      <c r="AK55" s="203">
        <f t="shared" si="10"/>
        <v>0</v>
      </c>
      <c r="AL55" s="203">
        <f t="shared" si="11"/>
        <v>0</v>
      </c>
      <c r="AM55" s="117"/>
      <c r="AN55" s="117"/>
      <c r="AO55" s="117"/>
      <c r="AP55" s="259">
        <f t="shared" si="5"/>
        <v>0</v>
      </c>
      <c r="AQ55" s="117"/>
    </row>
    <row r="56" spans="1:43">
      <c r="A56" s="114"/>
      <c r="B56" s="115"/>
      <c r="C56" s="116"/>
      <c r="D56" s="116"/>
      <c r="E56" s="116"/>
      <c r="F56" s="116"/>
      <c r="G56" s="203" t="b">
        <f>(IF(F56="Consultant", "enter manually", (IF(C56="W", 'Project Wide Estimates'!$H$12*'Project Wide Estimates'!$E$31, (IF(C56="N", ('Project Wide Estimates'!$H$13+'Project Wide Estimates'!$F$13)*'Project Wide Estimates'!$E$31, (IF('Individual Parcel Estimate'!C56="I", ('Project Wide Estimates'!$H$14+'Project Wide Estimates'!$F$14)*'Project Wide Estimates'!$E$31, (IF('Individual Parcel Estimate'!C56="II", ('Project Wide Estimates'!$H$15+'Project Wide Estimates'!$F$15)*'Project Wide Estimates'!$E$31, (IF('Individual Parcel Estimate'!C56="M", ('Project Wide Estimates'!$H$16+'Project Wide Estimates'!$F$16)*'Project Wide Estimates'!$E$31, (IF('Individual Parcel Estimate'!C56="MI", ('Project Wide Estimates'!$H$17+'Project Wide Estimates'!$F$17)*'Project Wide Estimates'!$E$31, (IF('Individual Parcel Estimate'!C56="C", ('Project Wide Estimates'!$H$18+'Project Wide Estimates'!$F$18)*'Project Wide Estimates'!$E$31, (IF('Individual Parcel Estimate'!C56="CI", ('Project Wide Estimates'!$H$19+'Project Wide Estimates'!$F$19)*'Project Wide Estimates'!$E$31))))))))))))))))))</f>
        <v>0</v>
      </c>
      <c r="H56" s="116"/>
      <c r="I56" s="203" t="b">
        <f>(IF(H56="Consultant","enter manually",(IF(C56="W",('Project Wide Estimates'!$G$12+'Project Wide Estimates'!$I$12+'Project Wide Estimates'!$F$12)*'Project Wide Estimates'!$E$31,(IF(C56="N",('Project Wide Estimates'!$G$13+'Project Wide Estimates'!$I$13)*'Project Wide Estimates'!$E$31,(IF('Individual Parcel Estimate'!C56="I",'Project Wide Estimates'!$I$14*'Project Wide Estimates'!$E$31,(IF('Individual Parcel Estimate'!C56="II",'Project Wide Estimates'!$I$15*'Project Wide Estimates'!$E$31,(IF('Individual Parcel Estimate'!C56="M",'Project Wide Estimates'!$I$16*'Project Wide Estimates'!$E$31,(IF('Individual Parcel Estimate'!C56="MI",'Project Wide Estimates'!$I$17*'Project Wide Estimates'!$E$31,(IF('Individual Parcel Estimate'!C56="C",'Project Wide Estimates'!$I$18*'Project Wide Estimates'!$E$31,(IF('Individual Parcel Estimate'!C56="CI",'Project Wide Estimates'!$I$19*'Project Wide Estimates'!$E$31))))))))))))))))))</f>
        <v>0</v>
      </c>
      <c r="J56" s="116"/>
      <c r="K56" s="203" t="b">
        <f>(IF(J56="Consultant","enter manually",(IF(C56="W","na",(IF(C56="N","na",(IF(C56="I","na",(IF(C56="II",'Project Wide Estimates'!$J$15*'Project Wide Estimates'!$E$31,(IF('Individual Parcel Estimate'!C56="M","na",(IF('Individual Parcel Estimate'!C56="MI",'Project Wide Estimates'!$J$17*'Project Wide Estimates'!$E$31,(IF('Individual Parcel Estimate'!C56="C","na",(IF('Individual Parcel Estimate'!C56="CI",'Project Wide Estimates'!$J$19*'Project Wide Estimates'!$E$31))))))))))))))))))</f>
        <v>0</v>
      </c>
      <c r="L56" s="116"/>
      <c r="M56" s="203" t="b">
        <f>(IF(L56="Consultant","enter manually",(IF(C56="W","na",(IF(C56="N","na",(IF(C56="I","na",(IF(C56="II",'Project Wide Estimates'!$K$15*'Project Wide Estimates'!$E$31,(IF('Individual Parcel Estimate'!C56="M","na",(IF('Individual Parcel Estimate'!C56="MI",'Project Wide Estimates'!$K$17*'Project Wide Estimates'!$E$31,(IF('Individual Parcel Estimate'!C56="C","na",(IF('Individual Parcel Estimate'!C56="CI",'Project Wide Estimates'!$K$19*'Project Wide Estimates'!$E$31))))))))))))))))))</f>
        <v>0</v>
      </c>
      <c r="N56" s="218"/>
      <c r="O56" s="217"/>
      <c r="P56" s="203" t="b">
        <f>(IF(C56="W",('Project Wide Estimates'!$D$12+'Project Wide Estimates'!$E$12)*'Project Wide Estimates'!$E$31,(IF(C56="N",('Project Wide Estimates'!$D$13+'Project Wide Estimates'!$E$13)*'Project Wide Estimates'!$E$31,(IF('Individual Parcel Estimate'!C56="I",('Project Wide Estimates'!$D$14+'Project Wide Estimates'!$E$14)*'Project Wide Estimates'!$E$31,(IF('Individual Parcel Estimate'!C56="II",('Project Wide Estimates'!$D$15+'Project Wide Estimates'!$E$15)*'Project Wide Estimates'!$E$31,(IF('Individual Parcel Estimate'!C56="M",('Project Wide Estimates'!$D$16+'Project Wide Estimates'!$E$16)*'Project Wide Estimates'!$E$31,(IF('Individual Parcel Estimate'!C56="MI",('Project Wide Estimates'!$D$17+'Project Wide Estimates'!$E$17)*'Project Wide Estimates'!$E$31,(IF('Individual Parcel Estimate'!C56="C",('Project Wide Estimates'!$D$18+'Project Wide Estimates'!$E$18)*'Project Wide Estimates'!$E$31,(IF('Individual Parcel Estimate'!C56="CI",('Project Wide Estimates'!$D$19+'Project Wide Estimates'!$E$19)*'Project Wide Estimates'!$E$31))))))))))))))))</f>
        <v>0</v>
      </c>
      <c r="Q56" s="318"/>
      <c r="R56" s="116"/>
      <c r="S56" s="203" t="b">
        <f>(IF(U56="Agricultural 1",R56*'Project Wide Estimates'!$Q$15,(IF('Individual Parcel Estimate'!U56="Agricultural 2",'Individual Parcel Estimate'!R56*'Project Wide Estimates'!$Q$16,(IF('Individual Parcel Estimate'!U56="Residential 1",'Individual Parcel Estimate'!R56*'Project Wide Estimates'!$Q$17,(IF('Individual Parcel Estimate'!U56="Residential 2",'Individual Parcel Estimate'!R56*'Project Wide Estimates'!$Q$18,(IF('Individual Parcel Estimate'!U56="Commercial 1",'Individual Parcel Estimate'!R56*'Project Wide Estimates'!$Q$19,(IF('Individual Parcel Estimate'!U56="Commercial 2",'Individual Parcel Estimate'!R56*'Project Wide Estimates'!$Q$20,(IF('Individual Parcel Estimate'!U56="Industrial 1",'Individual Parcel Estimate'!R56*'Project Wide Estimates'!$Q$21,(IF('Individual Parcel Estimate'!U56="Industrial 2",'Individual Parcel Estimate'!R56*'Project Wide Estimates'!$Q$22,(IF('Individual Parcel Estimate'!U56="Other 1",'Individual Parcel Estimate'!R56*'Project Wide Estimates'!$Q$23,(IF('Individual Parcel Estimate'!U56="Other 2",'Individual Parcel Estimate'!R56*'Project Wide Estimates'!$Q$24))))))))))))))))))))</f>
        <v>0</v>
      </c>
      <c r="T56" s="231"/>
      <c r="U56" s="116"/>
      <c r="V56" s="116"/>
      <c r="W56" s="224"/>
      <c r="X56" s="116"/>
      <c r="Y56" s="203" t="b">
        <f>(IF(U56="Agricultural 1",X56*('Project Wide Estimates'!$Q$15*0.1),(IF('Individual Parcel Estimate'!U56="Agricultural 2",'Individual Parcel Estimate'!X56*('Project Wide Estimates'!$Q$16*0.1),(IF('Individual Parcel Estimate'!U56="Residential 1",'Individual Parcel Estimate'!X56*('Project Wide Estimates'!$Q$17*0.1),(IF('Individual Parcel Estimate'!U56="Residential 2",'Individual Parcel Estimate'!X56*('Project Wide Estimates'!$Q$18*0.1),(IF('Individual Parcel Estimate'!U56="Commercial 1",'Individual Parcel Estimate'!X56*('Project Wide Estimates'!$Q$19*0.1),(IF('Individual Parcel Estimate'!U56="Commercial 2",'Individual Parcel Estimate'!X56*('Project Wide Estimates'!$Q$20*0.1),(IF('Individual Parcel Estimate'!U56="Industrial 1",'Individual Parcel Estimate'!X56*('Project Wide Estimates'!$Q$21*0.1),(IF('Individual Parcel Estimate'!U56="Industrial 2",'Individual Parcel Estimate'!X56*('Project Wide Estimates'!$Q$22*0.1),(IF('Individual Parcel Estimate'!U56="Other 1",'Individual Parcel Estimate'!X56*('Project Wide Estimates'!$Q$23*0.1),(IF('Individual Parcel Estimate'!U56="Other 2",'Individual Parcel Estimate'!X56*('Project Wide Estimates'!$Q$24*0.1)))))))))))))))))))))</f>
        <v>0</v>
      </c>
      <c r="Z56" s="203" t="b">
        <f>(IF(U56="Agricultural 1",'Project Wide Estimates'!$Q$15*'Individual Parcel Estimate'!R56, (IF('Individual Parcel Estimate'!U56="Agricultural 2", 'Project Wide Estimates'!$Q$16*'Individual Parcel Estimate'!R56, (IF('Individual Parcel Estimate'!U56="Residential 1", 'Project Wide Estimates'!$Q$17*'Individual Parcel Estimate'!R56, (IF('Individual Parcel Estimate'!U56="Residential 2",'Project Wide Estimates'!$Q$18*'Individual Parcel Estimate'!R56, (IF('Individual Parcel Estimate'!U56="Commercial 1",'Project Wide Estimates'!$Q$19*'Individual Parcel Estimate'!R56, (IF('Individual Parcel Estimate'!U56="Commercial 2", 'Project Wide Estimates'!$Q$20*'Individual Parcel Estimate'!R56, (IF('Individual Parcel Estimate'!U56="Industrial 1", 'Project Wide Estimates'!$Q$21*'Individual Parcel Estimate'!R56, (IF('Individual Parcel Estimate'!U56="Industrial 2", 'Project Wide Estimates'!$Q$22*'Individual Parcel Estimate'!R56, (IF('Individual Parcel Estimate'!U56="Other 1", 'Project Wide Estimates'!$Q$23*'Individual Parcel Estimate'!R56, (IF('Individual Parcel Estimate'!U56="Other 2", 'Project Wide Estimates'!$Q$24*'Individual Parcel Estimate'!R56))))))))))))))))))))</f>
        <v>0</v>
      </c>
      <c r="AA56" s="222">
        <f t="shared" si="4"/>
        <v>0</v>
      </c>
      <c r="AB56" s="203" t="b">
        <f t="shared" si="9"/>
        <v>0</v>
      </c>
      <c r="AC56" s="218"/>
      <c r="AD56" s="218"/>
      <c r="AE56" s="219"/>
      <c r="AF56" s="217"/>
      <c r="AG56" s="217"/>
      <c r="AH56" s="217"/>
      <c r="AI56" s="217"/>
      <c r="AJ56" s="217"/>
      <c r="AK56" s="203">
        <f t="shared" si="10"/>
        <v>0</v>
      </c>
      <c r="AL56" s="203">
        <f t="shared" si="11"/>
        <v>0</v>
      </c>
      <c r="AM56" s="117"/>
      <c r="AN56" s="117"/>
      <c r="AO56" s="117"/>
      <c r="AP56" s="259">
        <f t="shared" si="5"/>
        <v>0</v>
      </c>
      <c r="AQ56" s="117"/>
    </row>
    <row r="57" spans="1:43">
      <c r="A57" s="114"/>
      <c r="B57" s="115"/>
      <c r="C57" s="116"/>
      <c r="D57" s="116"/>
      <c r="E57" s="116"/>
      <c r="F57" s="116"/>
      <c r="G57" s="203" t="b">
        <f>(IF(F57="Consultant", "enter manually", (IF(C57="W", 'Project Wide Estimates'!$H$12*'Project Wide Estimates'!$E$31, (IF(C57="N", ('Project Wide Estimates'!$H$13+'Project Wide Estimates'!$F$13)*'Project Wide Estimates'!$E$31, (IF('Individual Parcel Estimate'!C57="I", ('Project Wide Estimates'!$H$14+'Project Wide Estimates'!$F$14)*'Project Wide Estimates'!$E$31, (IF('Individual Parcel Estimate'!C57="II", ('Project Wide Estimates'!$H$15+'Project Wide Estimates'!$F$15)*'Project Wide Estimates'!$E$31, (IF('Individual Parcel Estimate'!C57="M", ('Project Wide Estimates'!$H$16+'Project Wide Estimates'!$F$16)*'Project Wide Estimates'!$E$31, (IF('Individual Parcel Estimate'!C57="MI", ('Project Wide Estimates'!$H$17+'Project Wide Estimates'!$F$17)*'Project Wide Estimates'!$E$31, (IF('Individual Parcel Estimate'!C57="C", ('Project Wide Estimates'!$H$18+'Project Wide Estimates'!$F$18)*'Project Wide Estimates'!$E$31, (IF('Individual Parcel Estimate'!C57="CI", ('Project Wide Estimates'!$H$19+'Project Wide Estimates'!$F$19)*'Project Wide Estimates'!$E$31))))))))))))))))))</f>
        <v>0</v>
      </c>
      <c r="H57" s="116"/>
      <c r="I57" s="203" t="b">
        <f>(IF(H57="Consultant","enter manually",(IF(C57="W",('Project Wide Estimates'!$G$12+'Project Wide Estimates'!$I$12+'Project Wide Estimates'!$F$12)*'Project Wide Estimates'!$E$31,(IF(C57="N",('Project Wide Estimates'!$G$13+'Project Wide Estimates'!$I$13)*'Project Wide Estimates'!$E$31,(IF('Individual Parcel Estimate'!C57="I",'Project Wide Estimates'!$I$14*'Project Wide Estimates'!$E$31,(IF('Individual Parcel Estimate'!C57="II",'Project Wide Estimates'!$I$15*'Project Wide Estimates'!$E$31,(IF('Individual Parcel Estimate'!C57="M",'Project Wide Estimates'!$I$16*'Project Wide Estimates'!$E$31,(IF('Individual Parcel Estimate'!C57="MI",'Project Wide Estimates'!$I$17*'Project Wide Estimates'!$E$31,(IF('Individual Parcel Estimate'!C57="C",'Project Wide Estimates'!$I$18*'Project Wide Estimates'!$E$31,(IF('Individual Parcel Estimate'!C57="CI",'Project Wide Estimates'!$I$19*'Project Wide Estimates'!$E$31))))))))))))))))))</f>
        <v>0</v>
      </c>
      <c r="J57" s="116"/>
      <c r="K57" s="203" t="b">
        <f>(IF(J57="Consultant","enter manually",(IF(C57="W","na",(IF(C57="N","na",(IF(C57="I","na",(IF(C57="II",'Project Wide Estimates'!$J$15*'Project Wide Estimates'!$E$31,(IF('Individual Parcel Estimate'!C57="M","na",(IF('Individual Parcel Estimate'!C57="MI",'Project Wide Estimates'!$J$17*'Project Wide Estimates'!$E$31,(IF('Individual Parcel Estimate'!C57="C","na",(IF('Individual Parcel Estimate'!C57="CI",'Project Wide Estimates'!$J$19*'Project Wide Estimates'!$E$31))))))))))))))))))</f>
        <v>0</v>
      </c>
      <c r="L57" s="116"/>
      <c r="M57" s="203" t="b">
        <f>(IF(L57="Consultant","enter manually",(IF(C57="W","na",(IF(C57="N","na",(IF(C57="I","na",(IF(C57="II",'Project Wide Estimates'!$K$15*'Project Wide Estimates'!$E$31,(IF('Individual Parcel Estimate'!C57="M","na",(IF('Individual Parcel Estimate'!C57="MI",'Project Wide Estimates'!$K$17*'Project Wide Estimates'!$E$31,(IF('Individual Parcel Estimate'!C57="C","na",(IF('Individual Parcel Estimate'!C57="CI",'Project Wide Estimates'!$K$19*'Project Wide Estimates'!$E$31))))))))))))))))))</f>
        <v>0</v>
      </c>
      <c r="N57" s="218"/>
      <c r="O57" s="217"/>
      <c r="P57" s="203" t="b">
        <f>(IF(C57="W",('Project Wide Estimates'!$D$12+'Project Wide Estimates'!$E$12)*'Project Wide Estimates'!$E$31,(IF(C57="N",('Project Wide Estimates'!$D$13+'Project Wide Estimates'!$E$13)*'Project Wide Estimates'!$E$31,(IF('Individual Parcel Estimate'!C57="I",('Project Wide Estimates'!$D$14+'Project Wide Estimates'!$E$14)*'Project Wide Estimates'!$E$31,(IF('Individual Parcel Estimate'!C57="II",('Project Wide Estimates'!$D$15+'Project Wide Estimates'!$E$15)*'Project Wide Estimates'!$E$31,(IF('Individual Parcel Estimate'!C57="M",('Project Wide Estimates'!$D$16+'Project Wide Estimates'!$E$16)*'Project Wide Estimates'!$E$31,(IF('Individual Parcel Estimate'!C57="MI",('Project Wide Estimates'!$D$17+'Project Wide Estimates'!$E$17)*'Project Wide Estimates'!$E$31,(IF('Individual Parcel Estimate'!C57="C",('Project Wide Estimates'!$D$18+'Project Wide Estimates'!$E$18)*'Project Wide Estimates'!$E$31,(IF('Individual Parcel Estimate'!C57="CI",('Project Wide Estimates'!$D$19+'Project Wide Estimates'!$E$19)*'Project Wide Estimates'!$E$31))))))))))))))))</f>
        <v>0</v>
      </c>
      <c r="Q57" s="318"/>
      <c r="R57" s="116"/>
      <c r="S57" s="203" t="b">
        <f>(IF(U57="Agricultural 1",R57*'Project Wide Estimates'!$Q$15,(IF('Individual Parcel Estimate'!U57="Agricultural 2",'Individual Parcel Estimate'!R57*'Project Wide Estimates'!$Q$16,(IF('Individual Parcel Estimate'!U57="Residential 1",'Individual Parcel Estimate'!R57*'Project Wide Estimates'!$Q$17,(IF('Individual Parcel Estimate'!U57="Residential 2",'Individual Parcel Estimate'!R57*'Project Wide Estimates'!$Q$18,(IF('Individual Parcel Estimate'!U57="Commercial 1",'Individual Parcel Estimate'!R57*'Project Wide Estimates'!$Q$19,(IF('Individual Parcel Estimate'!U57="Commercial 2",'Individual Parcel Estimate'!R57*'Project Wide Estimates'!$Q$20,(IF('Individual Parcel Estimate'!U57="Industrial 1",'Individual Parcel Estimate'!R57*'Project Wide Estimates'!$Q$21,(IF('Individual Parcel Estimate'!U57="Industrial 2",'Individual Parcel Estimate'!R57*'Project Wide Estimates'!$Q$22,(IF('Individual Parcel Estimate'!U57="Other 1",'Individual Parcel Estimate'!R57*'Project Wide Estimates'!$Q$23,(IF('Individual Parcel Estimate'!U57="Other 2",'Individual Parcel Estimate'!R57*'Project Wide Estimates'!$Q$24))))))))))))))))))))</f>
        <v>0</v>
      </c>
      <c r="T57" s="231"/>
      <c r="U57" s="116"/>
      <c r="V57" s="116"/>
      <c r="W57" s="224"/>
      <c r="X57" s="116"/>
      <c r="Y57" s="203" t="b">
        <f>(IF(U57="Agricultural 1",X57*('Project Wide Estimates'!$Q$15*0.1),(IF('Individual Parcel Estimate'!U57="Agricultural 2",'Individual Parcel Estimate'!X57*('Project Wide Estimates'!$Q$16*0.1),(IF('Individual Parcel Estimate'!U57="Residential 1",'Individual Parcel Estimate'!X57*('Project Wide Estimates'!$Q$17*0.1),(IF('Individual Parcel Estimate'!U57="Residential 2",'Individual Parcel Estimate'!X57*('Project Wide Estimates'!$Q$18*0.1),(IF('Individual Parcel Estimate'!U57="Commercial 1",'Individual Parcel Estimate'!X57*('Project Wide Estimates'!$Q$19*0.1),(IF('Individual Parcel Estimate'!U57="Commercial 2",'Individual Parcel Estimate'!X57*('Project Wide Estimates'!$Q$20*0.1),(IF('Individual Parcel Estimate'!U57="Industrial 1",'Individual Parcel Estimate'!X57*('Project Wide Estimates'!$Q$21*0.1),(IF('Individual Parcel Estimate'!U57="Industrial 2",'Individual Parcel Estimate'!X57*('Project Wide Estimates'!$Q$22*0.1),(IF('Individual Parcel Estimate'!U57="Other 1",'Individual Parcel Estimate'!X57*('Project Wide Estimates'!$Q$23*0.1),(IF('Individual Parcel Estimate'!U57="Other 2",'Individual Parcel Estimate'!X57*('Project Wide Estimates'!$Q$24*0.1)))))))))))))))))))))</f>
        <v>0</v>
      </c>
      <c r="Z57" s="203" t="b">
        <f>(IF(U57="Agricultural 1",'Project Wide Estimates'!$Q$15*'Individual Parcel Estimate'!R57, (IF('Individual Parcel Estimate'!U57="Agricultural 2", 'Project Wide Estimates'!$Q$16*'Individual Parcel Estimate'!R57, (IF('Individual Parcel Estimate'!U57="Residential 1", 'Project Wide Estimates'!$Q$17*'Individual Parcel Estimate'!R57, (IF('Individual Parcel Estimate'!U57="Residential 2",'Project Wide Estimates'!$Q$18*'Individual Parcel Estimate'!R57, (IF('Individual Parcel Estimate'!U57="Commercial 1",'Project Wide Estimates'!$Q$19*'Individual Parcel Estimate'!R57, (IF('Individual Parcel Estimate'!U57="Commercial 2", 'Project Wide Estimates'!$Q$20*'Individual Parcel Estimate'!R57, (IF('Individual Parcel Estimate'!U57="Industrial 1", 'Project Wide Estimates'!$Q$21*'Individual Parcel Estimate'!R57, (IF('Individual Parcel Estimate'!U57="Industrial 2", 'Project Wide Estimates'!$Q$22*'Individual Parcel Estimate'!R57, (IF('Individual Parcel Estimate'!U57="Other 1", 'Project Wide Estimates'!$Q$23*'Individual Parcel Estimate'!R57, (IF('Individual Parcel Estimate'!U57="Other 2", 'Project Wide Estimates'!$Q$24*'Individual Parcel Estimate'!R57))))))))))))))))))))</f>
        <v>0</v>
      </c>
      <c r="AA57" s="222">
        <f t="shared" si="4"/>
        <v>0</v>
      </c>
      <c r="AB57" s="203" t="b">
        <f t="shared" si="9"/>
        <v>0</v>
      </c>
      <c r="AC57" s="218"/>
      <c r="AD57" s="218"/>
      <c r="AE57" s="219"/>
      <c r="AF57" s="217"/>
      <c r="AG57" s="217"/>
      <c r="AH57" s="217"/>
      <c r="AI57" s="217"/>
      <c r="AJ57" s="217"/>
      <c r="AK57" s="203">
        <f t="shared" si="10"/>
        <v>0</v>
      </c>
      <c r="AL57" s="203">
        <f t="shared" si="11"/>
        <v>0</v>
      </c>
      <c r="AM57" s="117"/>
      <c r="AN57" s="117"/>
      <c r="AO57" s="117"/>
      <c r="AP57" s="259">
        <f t="shared" si="5"/>
        <v>0</v>
      </c>
      <c r="AQ57" s="117"/>
    </row>
    <row r="58" spans="1:43" s="97" customFormat="1" ht="18">
      <c r="A58" s="94" t="s">
        <v>117</v>
      </c>
      <c r="B58" s="95"/>
      <c r="C58" s="95"/>
      <c r="D58" s="95"/>
      <c r="E58" s="95"/>
      <c r="F58" s="95"/>
      <c r="G58" s="96">
        <f>SUM(G9:G57)</f>
        <v>0</v>
      </c>
      <c r="H58" s="95"/>
      <c r="I58" s="96">
        <f>SUM(I9:I57)</f>
        <v>0</v>
      </c>
      <c r="J58" s="95"/>
      <c r="K58" s="96">
        <f>SUM(K9:K57)</f>
        <v>0</v>
      </c>
      <c r="L58" s="95"/>
      <c r="M58" s="96">
        <f t="shared" ref="M58:S58" si="12">SUM(M9:M57)</f>
        <v>0</v>
      </c>
      <c r="N58" s="216">
        <f t="shared" si="12"/>
        <v>0</v>
      </c>
      <c r="O58" s="96">
        <f t="shared" si="12"/>
        <v>0</v>
      </c>
      <c r="P58" s="96">
        <f t="shared" si="12"/>
        <v>0</v>
      </c>
      <c r="Q58" s="96"/>
      <c r="R58" s="202">
        <f t="shared" si="12"/>
        <v>0</v>
      </c>
      <c r="S58" s="96">
        <f t="shared" si="12"/>
        <v>0</v>
      </c>
      <c r="T58" s="96"/>
      <c r="U58" s="95"/>
      <c r="V58" s="202">
        <f t="shared" ref="V58:AC58" si="13">SUM(V9:V57)</f>
        <v>0</v>
      </c>
      <c r="W58" s="223">
        <f t="shared" si="13"/>
        <v>0</v>
      </c>
      <c r="X58" s="202">
        <f t="shared" si="13"/>
        <v>0</v>
      </c>
      <c r="Y58" s="96">
        <f t="shared" si="13"/>
        <v>0</v>
      </c>
      <c r="Z58" s="96">
        <f t="shared" si="13"/>
        <v>0</v>
      </c>
      <c r="AA58" s="96">
        <f t="shared" si="13"/>
        <v>0</v>
      </c>
      <c r="AB58" s="96">
        <f t="shared" si="13"/>
        <v>0</v>
      </c>
      <c r="AC58" s="96">
        <f t="shared" si="13"/>
        <v>0</v>
      </c>
      <c r="AD58" s="96"/>
      <c r="AE58" s="175"/>
      <c r="AF58" s="96">
        <f t="shared" ref="AF58:AP58" si="14">SUM(AF9:AF57)</f>
        <v>0</v>
      </c>
      <c r="AG58" s="96">
        <f t="shared" si="14"/>
        <v>0</v>
      </c>
      <c r="AH58" s="96">
        <f t="shared" si="14"/>
        <v>0</v>
      </c>
      <c r="AI58" s="96">
        <f t="shared" si="14"/>
        <v>0</v>
      </c>
      <c r="AJ58" s="96">
        <f t="shared" si="14"/>
        <v>0</v>
      </c>
      <c r="AK58" s="96">
        <f t="shared" si="14"/>
        <v>0</v>
      </c>
      <c r="AL58" s="96">
        <f t="shared" si="14"/>
        <v>0</v>
      </c>
      <c r="AM58" s="96">
        <f t="shared" si="14"/>
        <v>0</v>
      </c>
      <c r="AN58" s="96">
        <f t="shared" si="14"/>
        <v>0</v>
      </c>
      <c r="AO58" s="96">
        <f t="shared" si="14"/>
        <v>0</v>
      </c>
      <c r="AP58" s="96">
        <f t="shared" si="14"/>
        <v>0</v>
      </c>
      <c r="AQ58" s="96"/>
    </row>
    <row r="59" spans="1:43" s="92" customFormat="1" ht="18">
      <c r="A59" s="252" t="s">
        <v>118</v>
      </c>
      <c r="G59" s="258"/>
      <c r="I59" s="258"/>
      <c r="K59" s="258"/>
      <c r="M59" s="258"/>
      <c r="N59" s="258"/>
      <c r="O59" s="258"/>
      <c r="P59" s="258"/>
      <c r="Q59" s="272"/>
      <c r="R59" s="100"/>
      <c r="S59" s="100"/>
      <c r="T59" s="100"/>
      <c r="U59" s="100"/>
      <c r="V59" s="100"/>
      <c r="W59" s="100"/>
      <c r="X59" s="100"/>
      <c r="Y59" s="100"/>
      <c r="Z59" s="99"/>
      <c r="AA59" s="99"/>
      <c r="AB59" s="99"/>
      <c r="AC59" s="99"/>
      <c r="AD59" s="99"/>
      <c r="AE59" s="174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</row>
    <row r="60" spans="1:43" s="254" customFormat="1" ht="18">
      <c r="A60" s="253"/>
      <c r="G60" s="255"/>
      <c r="I60" s="255"/>
      <c r="K60" s="255"/>
      <c r="M60" s="255"/>
      <c r="N60" s="172"/>
      <c r="O60" s="172"/>
      <c r="P60" s="172"/>
      <c r="Q60" s="172"/>
      <c r="R60" s="256"/>
      <c r="S60" s="256"/>
      <c r="T60" s="256"/>
      <c r="U60" s="256"/>
      <c r="V60" s="256"/>
      <c r="W60" s="256"/>
      <c r="X60" s="256"/>
      <c r="Y60" s="256"/>
      <c r="Z60" s="172"/>
      <c r="AA60" s="172"/>
      <c r="AB60" s="172"/>
      <c r="AC60" s="172"/>
      <c r="AD60" s="172"/>
      <c r="AE60" s="257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</row>
    <row r="61" spans="1:43" s="92" customFormat="1">
      <c r="C61" s="365" t="s">
        <v>329</v>
      </c>
      <c r="D61" s="366"/>
      <c r="E61" s="366"/>
      <c r="F61" s="366"/>
      <c r="G61" s="367"/>
      <c r="I61" s="124" t="s">
        <v>119</v>
      </c>
      <c r="J61" s="92" t="s">
        <v>120</v>
      </c>
      <c r="K61" s="98"/>
      <c r="M61" s="98"/>
      <c r="N61" s="99"/>
      <c r="O61" s="99"/>
      <c r="P61" s="99"/>
      <c r="Q61" s="99"/>
      <c r="R61" s="100"/>
      <c r="S61" s="100"/>
      <c r="T61" s="98" t="s">
        <v>112</v>
      </c>
      <c r="U61" s="128" t="s">
        <v>90</v>
      </c>
      <c r="V61" s="131"/>
      <c r="W61" s="131"/>
      <c r="X61" s="131"/>
      <c r="Y61" s="172"/>
      <c r="Z61" s="172"/>
      <c r="AA61" s="172"/>
      <c r="AB61" s="172"/>
      <c r="AC61" s="99"/>
      <c r="AD61" s="99"/>
      <c r="AE61" s="174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</row>
    <row r="62" spans="1:43" s="92" customFormat="1">
      <c r="C62" s="382" t="s">
        <v>301</v>
      </c>
      <c r="D62" s="383"/>
      <c r="E62" s="384"/>
      <c r="F62" s="384"/>
      <c r="G62" s="319" t="s">
        <v>302</v>
      </c>
      <c r="I62" s="125"/>
      <c r="K62" s="98"/>
      <c r="M62" s="98"/>
      <c r="N62" s="99"/>
      <c r="O62" s="99"/>
      <c r="P62" s="99"/>
      <c r="Q62" s="99"/>
      <c r="R62" s="100"/>
      <c r="S62" s="100"/>
      <c r="T62" s="98"/>
      <c r="U62" s="130"/>
      <c r="V62" s="131"/>
      <c r="W62" s="131"/>
      <c r="X62" s="131"/>
      <c r="Y62" s="172"/>
      <c r="Z62" s="172"/>
      <c r="AA62" s="172"/>
      <c r="AB62" s="172"/>
      <c r="AC62" s="99"/>
      <c r="AD62" s="99"/>
      <c r="AE62" s="174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</row>
    <row r="63" spans="1:43" s="92" customFormat="1" ht="25.5">
      <c r="A63" s="228" t="s">
        <v>121</v>
      </c>
      <c r="C63" s="368" t="s">
        <v>36</v>
      </c>
      <c r="D63" s="369"/>
      <c r="E63" s="369"/>
      <c r="F63" s="369"/>
      <c r="G63" s="122" t="s">
        <v>122</v>
      </c>
      <c r="I63" s="125" t="s">
        <v>123</v>
      </c>
      <c r="J63" s="92" t="s">
        <v>124</v>
      </c>
      <c r="K63" s="98"/>
      <c r="M63" s="98"/>
      <c r="N63" s="99"/>
      <c r="O63" s="99"/>
      <c r="P63" s="127"/>
      <c r="Q63" s="127"/>
      <c r="R63" s="47"/>
      <c r="S63" s="47"/>
      <c r="T63" s="98" t="s">
        <v>125</v>
      </c>
      <c r="U63" s="130" t="s">
        <v>43</v>
      </c>
      <c r="V63" s="131"/>
      <c r="W63" s="131"/>
      <c r="X63" s="131"/>
      <c r="Y63" s="173"/>
      <c r="Z63" s="172"/>
      <c r="AA63" s="172"/>
      <c r="AB63" s="172"/>
      <c r="AC63" s="99"/>
      <c r="AD63" s="99"/>
      <c r="AE63" s="174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</row>
    <row r="64" spans="1:43" s="92" customFormat="1" ht="15.75">
      <c r="C64" s="368" t="s">
        <v>37</v>
      </c>
      <c r="D64" s="369"/>
      <c r="E64" s="369"/>
      <c r="F64" s="369"/>
      <c r="G64" s="122" t="s">
        <v>126</v>
      </c>
      <c r="I64" s="125" t="s">
        <v>127</v>
      </c>
      <c r="K64" s="98"/>
      <c r="M64" s="98"/>
      <c r="N64" s="99"/>
      <c r="O64" s="99"/>
      <c r="P64" s="127"/>
      <c r="Q64" s="127"/>
      <c r="R64" s="47"/>
      <c r="S64" s="47"/>
      <c r="T64" s="98" t="s">
        <v>128</v>
      </c>
      <c r="U64" s="129" t="s">
        <v>45</v>
      </c>
      <c r="V64" s="131"/>
      <c r="W64" s="131"/>
      <c r="X64" s="131"/>
      <c r="Y64" s="173"/>
      <c r="Z64" s="172"/>
      <c r="AA64" s="172"/>
      <c r="AB64" s="172"/>
      <c r="AC64" s="99"/>
      <c r="AD64" s="99"/>
      <c r="AE64" s="174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</row>
    <row r="65" spans="3:43" s="92" customFormat="1" ht="15.75">
      <c r="C65" s="368" t="s">
        <v>42</v>
      </c>
      <c r="D65" s="369"/>
      <c r="E65" s="369"/>
      <c r="F65" s="369"/>
      <c r="G65" s="122" t="s">
        <v>129</v>
      </c>
      <c r="I65" s="126" t="s">
        <v>130</v>
      </c>
      <c r="K65" s="98"/>
      <c r="M65" s="98"/>
      <c r="N65" s="99"/>
      <c r="O65" s="99"/>
      <c r="P65" s="127"/>
      <c r="Q65" s="127"/>
      <c r="R65" s="47"/>
      <c r="S65" s="47"/>
      <c r="T65" s="98" t="s">
        <v>131</v>
      </c>
      <c r="U65" s="129" t="s">
        <v>48</v>
      </c>
      <c r="V65" s="131"/>
      <c r="W65" s="131"/>
      <c r="X65" s="131"/>
      <c r="Y65" s="173"/>
      <c r="Z65" s="172"/>
      <c r="AA65" s="172"/>
      <c r="AB65" s="172"/>
      <c r="AC65" s="99"/>
      <c r="AD65" s="99"/>
      <c r="AE65" s="174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</row>
    <row r="66" spans="3:43" s="92" customFormat="1" ht="15.75">
      <c r="C66" s="368" t="s">
        <v>44</v>
      </c>
      <c r="D66" s="369"/>
      <c r="E66" s="369"/>
      <c r="F66" s="369"/>
      <c r="G66" s="122" t="s">
        <v>132</v>
      </c>
      <c r="I66" s="98"/>
      <c r="K66" s="98"/>
      <c r="M66" s="98"/>
      <c r="N66" s="99"/>
      <c r="O66" s="99"/>
      <c r="P66" s="127"/>
      <c r="Q66" s="127"/>
      <c r="R66" s="47"/>
      <c r="S66" s="47"/>
      <c r="T66" s="98" t="s">
        <v>133</v>
      </c>
      <c r="U66" s="129" t="s">
        <v>50</v>
      </c>
      <c r="V66" s="131"/>
      <c r="W66" s="131"/>
      <c r="X66" s="131"/>
      <c r="Y66" s="131"/>
      <c r="Z66" s="99"/>
      <c r="AA66" s="99"/>
      <c r="AB66" s="99"/>
      <c r="AC66" s="99"/>
      <c r="AD66" s="99"/>
      <c r="AE66" s="174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</row>
    <row r="67" spans="3:43" s="92" customFormat="1" ht="15.75">
      <c r="C67" s="368" t="s">
        <v>47</v>
      </c>
      <c r="D67" s="369"/>
      <c r="E67" s="369"/>
      <c r="F67" s="369"/>
      <c r="G67" s="122" t="s">
        <v>134</v>
      </c>
      <c r="I67" s="98"/>
      <c r="K67" s="98"/>
      <c r="M67" s="98"/>
      <c r="N67" s="99"/>
      <c r="O67" s="99"/>
      <c r="P67" s="127"/>
      <c r="Q67" s="127"/>
      <c r="R67" s="47"/>
      <c r="S67" s="47"/>
      <c r="T67" s="98" t="s">
        <v>135</v>
      </c>
      <c r="U67" s="129" t="s">
        <v>52</v>
      </c>
      <c r="V67" s="131"/>
      <c r="W67" s="131"/>
      <c r="X67" s="131"/>
      <c r="Y67" s="131"/>
      <c r="Z67" s="99"/>
      <c r="AA67" s="99"/>
      <c r="AB67" s="99"/>
      <c r="AC67" s="99"/>
      <c r="AD67" s="99"/>
      <c r="AE67" s="174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</row>
    <row r="68" spans="3:43" s="92" customFormat="1" ht="15.75">
      <c r="C68" s="368" t="s">
        <v>49</v>
      </c>
      <c r="D68" s="369"/>
      <c r="E68" s="369"/>
      <c r="F68" s="369"/>
      <c r="G68" s="122" t="s">
        <v>136</v>
      </c>
      <c r="I68" s="98"/>
      <c r="K68" s="98"/>
      <c r="M68" s="98"/>
      <c r="N68" s="99"/>
      <c r="O68" s="99"/>
      <c r="P68" s="127"/>
      <c r="Q68" s="127"/>
      <c r="R68" s="47"/>
      <c r="S68" s="47"/>
      <c r="T68" s="98" t="s">
        <v>137</v>
      </c>
      <c r="U68" s="129" t="s">
        <v>54</v>
      </c>
      <c r="V68" s="131"/>
      <c r="W68" s="131"/>
      <c r="X68" s="131"/>
      <c r="Y68" s="131"/>
      <c r="Z68" s="99"/>
      <c r="AA68" s="99"/>
      <c r="AB68" s="99"/>
      <c r="AC68" s="99"/>
      <c r="AD68" s="99"/>
      <c r="AE68" s="174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</row>
    <row r="69" spans="3:43" s="92" customFormat="1">
      <c r="C69" s="387" t="s">
        <v>51</v>
      </c>
      <c r="D69" s="388"/>
      <c r="E69" s="388"/>
      <c r="F69" s="388"/>
      <c r="G69" s="123" t="s">
        <v>138</v>
      </c>
      <c r="I69" s="98"/>
      <c r="K69" s="98"/>
      <c r="M69" s="98"/>
      <c r="N69" s="99"/>
      <c r="O69" s="99"/>
      <c r="P69" s="127"/>
      <c r="Q69" s="127"/>
      <c r="R69" s="131"/>
      <c r="S69" s="131"/>
      <c r="T69" s="131"/>
      <c r="U69" s="129" t="s">
        <v>57</v>
      </c>
      <c r="V69" s="131"/>
      <c r="W69" s="131"/>
      <c r="X69" s="131"/>
      <c r="Y69" s="131"/>
      <c r="Z69" s="99"/>
      <c r="AA69" s="99"/>
      <c r="AB69" s="99"/>
      <c r="AC69" s="99"/>
      <c r="AD69" s="99"/>
      <c r="AE69" s="174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</row>
    <row r="70" spans="3:43" s="92" customFormat="1">
      <c r="G70" s="98"/>
      <c r="I70" s="98"/>
      <c r="K70" s="98"/>
      <c r="M70" s="98"/>
      <c r="N70" s="99"/>
      <c r="O70" s="99"/>
      <c r="P70" s="127"/>
      <c r="Q70" s="127"/>
      <c r="R70" s="131"/>
      <c r="S70" s="131"/>
      <c r="T70" s="131"/>
      <c r="U70" s="129" t="s">
        <v>59</v>
      </c>
      <c r="V70" s="131"/>
      <c r="W70" s="131"/>
      <c r="X70" s="131"/>
      <c r="Y70" s="131"/>
      <c r="Z70" s="99"/>
      <c r="AA70" s="99"/>
      <c r="AB70" s="99"/>
      <c r="AC70" s="99"/>
      <c r="AD70" s="99"/>
      <c r="AE70" s="174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</row>
    <row r="71" spans="3:43" s="92" customFormat="1">
      <c r="G71" s="98"/>
      <c r="I71" s="98"/>
      <c r="K71" s="98"/>
      <c r="M71" s="98"/>
      <c r="N71" s="99"/>
      <c r="O71" s="99"/>
      <c r="P71" s="99"/>
      <c r="Q71" s="99"/>
      <c r="R71" s="100"/>
      <c r="S71" s="100"/>
      <c r="T71" s="100"/>
      <c r="U71" s="129" t="s">
        <v>60</v>
      </c>
      <c r="V71" s="131"/>
      <c r="W71" s="131"/>
      <c r="X71" s="131"/>
      <c r="Y71" s="131"/>
      <c r="Z71" s="99"/>
      <c r="AA71" s="99"/>
      <c r="AB71" s="99"/>
      <c r="AC71" s="99"/>
      <c r="AD71" s="99"/>
      <c r="AE71" s="174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</row>
    <row r="72" spans="3:43" s="92" customFormat="1">
      <c r="C72" s="354" t="s">
        <v>349</v>
      </c>
      <c r="G72" s="98"/>
      <c r="I72" s="98"/>
      <c r="K72" s="98"/>
      <c r="M72" s="98"/>
      <c r="N72" s="99"/>
      <c r="O72" s="99"/>
      <c r="P72" s="99"/>
      <c r="Q72" s="99"/>
      <c r="R72" s="100"/>
      <c r="S72" s="100"/>
      <c r="T72" s="100"/>
      <c r="U72" s="182" t="s">
        <v>139</v>
      </c>
      <c r="V72" s="131"/>
      <c r="W72" s="131"/>
      <c r="X72" s="131"/>
      <c r="Y72" s="131"/>
      <c r="Z72" s="99"/>
      <c r="AA72" s="99"/>
      <c r="AB72" s="99"/>
      <c r="AC72" s="99"/>
      <c r="AD72" s="99"/>
      <c r="AE72" s="174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</row>
    <row r="73" spans="3:43" s="92" customFormat="1">
      <c r="C73" s="355" t="s">
        <v>350</v>
      </c>
      <c r="G73" s="98"/>
      <c r="I73" s="98"/>
      <c r="K73" s="98"/>
      <c r="M73" s="98"/>
      <c r="N73" s="99"/>
      <c r="O73" s="99"/>
      <c r="P73" s="99"/>
      <c r="Q73" s="99"/>
      <c r="R73" s="100"/>
      <c r="S73" s="100"/>
      <c r="T73" s="100"/>
      <c r="U73" s="100"/>
      <c r="V73" s="100"/>
      <c r="W73" s="100"/>
      <c r="X73" s="100"/>
      <c r="Y73" s="100"/>
      <c r="Z73" s="99"/>
      <c r="AA73" s="99"/>
      <c r="AB73" s="99"/>
      <c r="AC73" s="99"/>
      <c r="AD73" s="99"/>
      <c r="AE73" s="174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</row>
    <row r="74" spans="3:43" s="92" customFormat="1">
      <c r="C74" s="356" t="s">
        <v>351</v>
      </c>
      <c r="G74" s="98"/>
      <c r="I74" s="98"/>
      <c r="K74" s="98"/>
      <c r="M74" s="98"/>
      <c r="N74" s="99"/>
      <c r="O74" s="99"/>
      <c r="P74" s="99"/>
      <c r="Q74" s="99"/>
      <c r="R74" s="100"/>
      <c r="S74" s="100"/>
      <c r="T74" s="100"/>
      <c r="U74" s="100"/>
      <c r="V74" s="100"/>
      <c r="W74" s="100"/>
      <c r="X74" s="100"/>
      <c r="Y74" s="100"/>
      <c r="Z74" s="99"/>
      <c r="AA74" s="99"/>
      <c r="AB74" s="99"/>
      <c r="AC74" s="99"/>
      <c r="AD74" s="99"/>
      <c r="AE74" s="174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</row>
    <row r="75" spans="3:43" s="92" customFormat="1">
      <c r="C75" s="356" t="s">
        <v>348</v>
      </c>
      <c r="G75" s="98"/>
      <c r="I75" s="98"/>
      <c r="K75" s="98"/>
      <c r="M75" s="98"/>
      <c r="N75" s="99"/>
      <c r="O75" s="99"/>
      <c r="P75" s="99"/>
      <c r="Q75" s="99"/>
      <c r="R75" s="100"/>
      <c r="S75" s="100"/>
      <c r="T75" s="100"/>
      <c r="U75" s="100"/>
      <c r="V75" s="100"/>
      <c r="W75" s="100"/>
      <c r="X75" s="100"/>
      <c r="Y75" s="100"/>
      <c r="Z75" s="99"/>
      <c r="AA75" s="99"/>
      <c r="AB75" s="99"/>
      <c r="AC75" s="99"/>
      <c r="AD75" s="99"/>
      <c r="AE75" s="174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</row>
    <row r="76" spans="3:43" s="92" customFormat="1">
      <c r="C76" s="357" t="s">
        <v>62</v>
      </c>
      <c r="G76" s="98"/>
      <c r="I76" s="98"/>
      <c r="K76" s="98"/>
      <c r="M76" s="98"/>
      <c r="N76" s="99"/>
      <c r="O76" s="99"/>
      <c r="P76" s="99"/>
      <c r="Q76" s="99"/>
      <c r="R76" s="100"/>
      <c r="S76" s="100"/>
      <c r="T76" s="100"/>
      <c r="U76" s="100"/>
      <c r="V76" s="100"/>
      <c r="W76" s="100"/>
      <c r="X76" s="100"/>
      <c r="Y76" s="100"/>
      <c r="Z76" s="99"/>
      <c r="AA76" s="99"/>
      <c r="AB76" s="99"/>
      <c r="AC76" s="99"/>
      <c r="AD76" s="99"/>
      <c r="AE76" s="174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</row>
    <row r="77" spans="3:43" s="92" customFormat="1">
      <c r="G77" s="98"/>
      <c r="I77" s="98"/>
      <c r="K77" s="98"/>
      <c r="M77" s="98"/>
      <c r="N77" s="99"/>
      <c r="O77" s="99"/>
      <c r="P77" s="99"/>
      <c r="Q77" s="99"/>
      <c r="R77" s="100"/>
      <c r="S77" s="100"/>
      <c r="T77" s="100"/>
      <c r="U77" s="100"/>
      <c r="V77" s="100"/>
      <c r="W77" s="100"/>
      <c r="X77" s="100"/>
      <c r="Y77" s="100"/>
      <c r="Z77" s="99"/>
      <c r="AA77" s="99"/>
      <c r="AB77" s="99"/>
      <c r="AC77" s="99"/>
      <c r="AD77" s="99"/>
      <c r="AE77" s="174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</row>
    <row r="78" spans="3:43" s="92" customFormat="1">
      <c r="G78" s="98"/>
      <c r="I78" s="98"/>
      <c r="K78" s="98"/>
      <c r="M78" s="98"/>
      <c r="N78" s="99"/>
      <c r="O78" s="99"/>
      <c r="P78" s="99"/>
      <c r="Q78" s="99"/>
      <c r="R78" s="100"/>
      <c r="S78" s="100"/>
      <c r="T78" s="100"/>
      <c r="U78" s="100"/>
      <c r="V78" s="100"/>
      <c r="W78" s="100"/>
      <c r="X78" s="100"/>
      <c r="Y78" s="100"/>
      <c r="Z78" s="99"/>
      <c r="AA78" s="99"/>
      <c r="AB78" s="99"/>
      <c r="AC78" s="99"/>
      <c r="AD78" s="99"/>
      <c r="AE78" s="174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</row>
    <row r="79" spans="3:43" s="92" customFormat="1">
      <c r="G79" s="98"/>
      <c r="I79" s="98"/>
      <c r="K79" s="98"/>
      <c r="M79" s="98"/>
      <c r="N79" s="99"/>
      <c r="O79" s="99"/>
      <c r="P79" s="99"/>
      <c r="Q79" s="99"/>
      <c r="R79" s="100"/>
      <c r="S79" s="100"/>
      <c r="T79" s="100"/>
      <c r="U79" s="100"/>
      <c r="V79" s="100"/>
      <c r="W79" s="100"/>
      <c r="X79" s="100"/>
      <c r="Y79" s="100"/>
      <c r="Z79" s="99"/>
      <c r="AA79" s="99"/>
      <c r="AB79" s="99"/>
      <c r="AC79" s="99"/>
      <c r="AD79" s="99"/>
      <c r="AE79" s="174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</row>
    <row r="80" spans="3:43" s="92" customFormat="1">
      <c r="G80" s="98"/>
      <c r="I80" s="98"/>
      <c r="K80" s="98"/>
      <c r="M80" s="98"/>
      <c r="N80" s="99"/>
      <c r="O80" s="99"/>
      <c r="P80" s="99"/>
      <c r="Q80" s="99"/>
      <c r="R80" s="100"/>
      <c r="S80" s="100"/>
      <c r="T80" s="100"/>
      <c r="U80" s="100"/>
      <c r="V80" s="100"/>
      <c r="W80" s="100"/>
      <c r="X80" s="100"/>
      <c r="Y80" s="100"/>
      <c r="Z80" s="99"/>
      <c r="AA80" s="99"/>
      <c r="AB80" s="99"/>
      <c r="AC80" s="99"/>
      <c r="AD80" s="99"/>
      <c r="AE80" s="174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</row>
    <row r="81" spans="7:43" s="92" customFormat="1">
      <c r="G81" s="98"/>
      <c r="I81" s="98"/>
      <c r="K81" s="98"/>
      <c r="M81" s="98"/>
      <c r="N81" s="99"/>
      <c r="O81" s="99"/>
      <c r="P81" s="99"/>
      <c r="Q81" s="99"/>
      <c r="R81" s="100"/>
      <c r="S81" s="100"/>
      <c r="T81" s="100"/>
      <c r="U81" s="100"/>
      <c r="V81" s="100"/>
      <c r="W81" s="100"/>
      <c r="X81" s="100"/>
      <c r="Y81" s="100"/>
      <c r="Z81" s="99"/>
      <c r="AA81" s="99"/>
      <c r="AB81" s="99"/>
      <c r="AC81" s="99"/>
      <c r="AD81" s="99"/>
      <c r="AE81" s="174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</row>
    <row r="82" spans="7:43" s="92" customFormat="1">
      <c r="G82" s="98"/>
      <c r="I82" s="98"/>
      <c r="K82" s="98"/>
      <c r="M82" s="98"/>
      <c r="N82" s="99"/>
      <c r="O82" s="99"/>
      <c r="P82" s="99"/>
      <c r="Q82" s="99"/>
      <c r="R82" s="100"/>
      <c r="S82" s="100"/>
      <c r="T82" s="100"/>
      <c r="U82" s="100"/>
      <c r="V82" s="100"/>
      <c r="W82" s="100"/>
      <c r="X82" s="100"/>
      <c r="Y82" s="100"/>
      <c r="Z82" s="99"/>
      <c r="AA82" s="99"/>
      <c r="AB82" s="99"/>
      <c r="AC82" s="99"/>
      <c r="AD82" s="99"/>
      <c r="AE82" s="174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</row>
    <row r="83" spans="7:43" s="92" customFormat="1">
      <c r="G83" s="98"/>
      <c r="I83" s="98"/>
      <c r="K83" s="98"/>
      <c r="M83" s="98"/>
      <c r="N83" s="99"/>
      <c r="O83" s="99"/>
      <c r="P83" s="99"/>
      <c r="Q83" s="99"/>
      <c r="R83" s="100"/>
      <c r="S83" s="100"/>
      <c r="T83" s="100"/>
      <c r="U83" s="100"/>
      <c r="V83" s="100"/>
      <c r="W83" s="100"/>
      <c r="X83" s="100"/>
      <c r="Y83" s="100"/>
      <c r="Z83" s="99"/>
      <c r="AA83" s="99"/>
      <c r="AB83" s="99"/>
      <c r="AC83" s="99"/>
      <c r="AD83" s="99"/>
      <c r="AE83" s="174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</row>
    <row r="84" spans="7:43" s="92" customFormat="1">
      <c r="G84" s="98"/>
      <c r="I84" s="98"/>
      <c r="K84" s="98"/>
      <c r="M84" s="98"/>
      <c r="N84" s="99"/>
      <c r="O84" s="99"/>
      <c r="P84" s="99"/>
      <c r="Q84" s="99"/>
      <c r="R84" s="100"/>
      <c r="S84" s="100"/>
      <c r="T84" s="100"/>
      <c r="U84" s="100"/>
      <c r="V84" s="100"/>
      <c r="W84" s="100"/>
      <c r="X84" s="100"/>
      <c r="Y84" s="100"/>
      <c r="Z84" s="99"/>
      <c r="AA84" s="99"/>
      <c r="AB84" s="99"/>
      <c r="AC84" s="99"/>
      <c r="AD84" s="99"/>
      <c r="AE84" s="174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</row>
    <row r="85" spans="7:43" s="92" customFormat="1">
      <c r="G85" s="98"/>
      <c r="I85" s="98"/>
      <c r="K85" s="98"/>
      <c r="M85" s="98"/>
      <c r="N85" s="99"/>
      <c r="O85" s="99"/>
      <c r="P85" s="99"/>
      <c r="Q85" s="99"/>
      <c r="R85" s="100"/>
      <c r="S85" s="100"/>
      <c r="T85" s="100"/>
      <c r="U85" s="100"/>
      <c r="V85" s="100"/>
      <c r="W85" s="100"/>
      <c r="X85" s="100"/>
      <c r="Y85" s="100"/>
      <c r="Z85" s="99"/>
      <c r="AA85" s="99"/>
      <c r="AB85" s="99"/>
      <c r="AC85" s="99"/>
      <c r="AD85" s="99"/>
      <c r="AE85" s="174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</row>
    <row r="86" spans="7:43" s="92" customFormat="1">
      <c r="G86" s="98"/>
      <c r="I86" s="98"/>
      <c r="K86" s="98"/>
      <c r="M86" s="98"/>
      <c r="N86" s="99"/>
      <c r="O86" s="99"/>
      <c r="P86" s="99"/>
      <c r="Q86" s="99"/>
      <c r="R86" s="100"/>
      <c r="S86" s="100"/>
      <c r="T86" s="100"/>
      <c r="U86" s="100"/>
      <c r="V86" s="100"/>
      <c r="W86" s="100"/>
      <c r="X86" s="100"/>
      <c r="Y86" s="100"/>
      <c r="Z86" s="99"/>
      <c r="AA86" s="99"/>
      <c r="AB86" s="99"/>
      <c r="AC86" s="99"/>
      <c r="AD86" s="99"/>
      <c r="AE86" s="174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</row>
    <row r="87" spans="7:43" s="92" customFormat="1">
      <c r="G87" s="98"/>
      <c r="I87" s="98"/>
      <c r="K87" s="98"/>
      <c r="M87" s="98"/>
      <c r="N87" s="99"/>
      <c r="O87" s="99"/>
      <c r="P87" s="99"/>
      <c r="Q87" s="99"/>
      <c r="R87" s="100"/>
      <c r="S87" s="100"/>
      <c r="T87" s="100"/>
      <c r="U87" s="100"/>
      <c r="V87" s="100"/>
      <c r="W87" s="100"/>
      <c r="X87" s="100"/>
      <c r="Y87" s="100"/>
      <c r="Z87" s="99"/>
      <c r="AA87" s="99"/>
      <c r="AB87" s="99"/>
      <c r="AC87" s="99"/>
      <c r="AD87" s="99"/>
      <c r="AE87" s="174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</row>
    <row r="88" spans="7:43" s="92" customFormat="1">
      <c r="G88" s="98"/>
      <c r="I88" s="98"/>
      <c r="K88" s="98"/>
      <c r="M88" s="98"/>
      <c r="N88" s="99"/>
      <c r="O88" s="99"/>
      <c r="P88" s="99"/>
      <c r="Q88" s="99"/>
      <c r="R88" s="100"/>
      <c r="S88" s="100"/>
      <c r="T88" s="100"/>
      <c r="U88" s="100"/>
      <c r="V88" s="100"/>
      <c r="W88" s="100"/>
      <c r="X88" s="100"/>
      <c r="Y88" s="100"/>
      <c r="Z88" s="99"/>
      <c r="AA88" s="99"/>
      <c r="AB88" s="99"/>
      <c r="AC88" s="99"/>
      <c r="AD88" s="99"/>
      <c r="AE88" s="174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</row>
    <row r="89" spans="7:43" s="92" customFormat="1">
      <c r="G89" s="98"/>
      <c r="I89" s="98"/>
      <c r="K89" s="98"/>
      <c r="M89" s="98"/>
      <c r="N89" s="99"/>
      <c r="O89" s="99"/>
      <c r="P89" s="99"/>
      <c r="Q89" s="99"/>
      <c r="R89" s="100"/>
      <c r="S89" s="100"/>
      <c r="T89" s="100"/>
      <c r="U89" s="100"/>
      <c r="V89" s="100"/>
      <c r="W89" s="100"/>
      <c r="X89" s="100"/>
      <c r="Y89" s="100"/>
      <c r="Z89" s="99"/>
      <c r="AA89" s="99"/>
      <c r="AB89" s="99"/>
      <c r="AC89" s="99"/>
      <c r="AD89" s="99"/>
      <c r="AE89" s="174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</row>
    <row r="90" spans="7:43" s="92" customFormat="1">
      <c r="G90" s="98"/>
      <c r="I90" s="98"/>
      <c r="K90" s="98"/>
      <c r="M90" s="98"/>
      <c r="N90" s="99"/>
      <c r="O90" s="99"/>
      <c r="P90" s="99"/>
      <c r="Q90" s="99"/>
      <c r="R90" s="100"/>
      <c r="S90" s="100"/>
      <c r="T90" s="100"/>
      <c r="U90" s="100"/>
      <c r="V90" s="100"/>
      <c r="W90" s="100"/>
      <c r="X90" s="100"/>
      <c r="Y90" s="100"/>
      <c r="Z90" s="99"/>
      <c r="AA90" s="99"/>
      <c r="AB90" s="99"/>
      <c r="AC90" s="99"/>
      <c r="AD90" s="99"/>
      <c r="AE90" s="174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</row>
    <row r="91" spans="7:43" s="92" customFormat="1">
      <c r="G91" s="98"/>
      <c r="I91" s="98"/>
      <c r="K91" s="98"/>
      <c r="M91" s="98"/>
      <c r="N91" s="99"/>
      <c r="O91" s="99"/>
      <c r="P91" s="99"/>
      <c r="Q91" s="99"/>
      <c r="R91" s="100"/>
      <c r="S91" s="100"/>
      <c r="T91" s="100"/>
      <c r="U91" s="100"/>
      <c r="V91" s="100"/>
      <c r="W91" s="100"/>
      <c r="X91" s="100"/>
      <c r="Y91" s="100"/>
      <c r="Z91" s="99"/>
      <c r="AA91" s="99"/>
      <c r="AB91" s="99"/>
      <c r="AC91" s="99"/>
      <c r="AD91" s="99"/>
      <c r="AE91" s="174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</row>
    <row r="92" spans="7:43" s="92" customFormat="1">
      <c r="G92" s="98"/>
      <c r="I92" s="98"/>
      <c r="K92" s="98"/>
      <c r="M92" s="98"/>
      <c r="N92" s="99"/>
      <c r="O92" s="99"/>
      <c r="P92" s="99"/>
      <c r="Q92" s="99"/>
      <c r="R92" s="100"/>
      <c r="S92" s="100"/>
      <c r="T92" s="100"/>
      <c r="U92" s="100"/>
      <c r="V92" s="100"/>
      <c r="W92" s="100"/>
      <c r="X92" s="100"/>
      <c r="Y92" s="100"/>
      <c r="Z92" s="99"/>
      <c r="AA92" s="99"/>
      <c r="AB92" s="99"/>
      <c r="AC92" s="99"/>
      <c r="AD92" s="99"/>
      <c r="AE92" s="174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</row>
    <row r="93" spans="7:43" s="92" customFormat="1">
      <c r="G93" s="98"/>
      <c r="I93" s="98"/>
      <c r="K93" s="98"/>
      <c r="M93" s="98"/>
      <c r="N93" s="99"/>
      <c r="O93" s="99"/>
      <c r="P93" s="99"/>
      <c r="Q93" s="99"/>
      <c r="R93" s="100"/>
      <c r="S93" s="100"/>
      <c r="T93" s="100"/>
      <c r="U93" s="100"/>
      <c r="V93" s="100"/>
      <c r="W93" s="100"/>
      <c r="X93" s="100"/>
      <c r="Y93" s="100"/>
      <c r="Z93" s="99"/>
      <c r="AA93" s="99"/>
      <c r="AB93" s="99"/>
      <c r="AC93" s="99"/>
      <c r="AD93" s="99"/>
      <c r="AE93" s="174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</row>
    <row r="94" spans="7:43" s="92" customFormat="1">
      <c r="G94" s="98"/>
      <c r="I94" s="98"/>
      <c r="K94" s="98"/>
      <c r="M94" s="98"/>
      <c r="N94" s="99"/>
      <c r="O94" s="99"/>
      <c r="P94" s="99"/>
      <c r="Q94" s="99"/>
      <c r="R94" s="100"/>
      <c r="S94" s="100"/>
      <c r="T94" s="100"/>
      <c r="U94" s="100"/>
      <c r="V94" s="100"/>
      <c r="W94" s="100"/>
      <c r="X94" s="100"/>
      <c r="Y94" s="100"/>
      <c r="Z94" s="99"/>
      <c r="AA94" s="99"/>
      <c r="AB94" s="99"/>
      <c r="AC94" s="99"/>
      <c r="AD94" s="99"/>
      <c r="AE94" s="174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</row>
    <row r="95" spans="7:43" s="92" customFormat="1">
      <c r="G95" s="98"/>
      <c r="I95" s="98"/>
      <c r="K95" s="98"/>
      <c r="M95" s="98"/>
      <c r="N95" s="99"/>
      <c r="O95" s="99"/>
      <c r="P95" s="99"/>
      <c r="Q95" s="99"/>
      <c r="R95" s="100"/>
      <c r="S95" s="100"/>
      <c r="T95" s="100"/>
      <c r="U95" s="100"/>
      <c r="V95" s="100"/>
      <c r="W95" s="100"/>
      <c r="X95" s="100"/>
      <c r="Y95" s="100"/>
      <c r="Z95" s="99"/>
      <c r="AA95" s="99"/>
      <c r="AB95" s="99"/>
      <c r="AC95" s="99"/>
      <c r="AD95" s="99"/>
      <c r="AE95" s="174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</row>
    <row r="96" spans="7:43" s="92" customFormat="1">
      <c r="G96" s="98"/>
      <c r="I96" s="98"/>
      <c r="K96" s="98"/>
      <c r="M96" s="98"/>
      <c r="N96" s="99"/>
      <c r="O96" s="99"/>
      <c r="P96" s="99"/>
      <c r="Q96" s="99"/>
      <c r="R96" s="100"/>
      <c r="S96" s="100"/>
      <c r="T96" s="100"/>
      <c r="U96" s="100"/>
      <c r="V96" s="100"/>
      <c r="W96" s="100"/>
      <c r="X96" s="100"/>
      <c r="Y96" s="100"/>
      <c r="Z96" s="99"/>
      <c r="AA96" s="99"/>
      <c r="AB96" s="99"/>
      <c r="AC96" s="99"/>
      <c r="AD96" s="99"/>
      <c r="AE96" s="174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</row>
    <row r="97" spans="7:43" s="92" customFormat="1">
      <c r="G97" s="98"/>
      <c r="I97" s="98"/>
      <c r="K97" s="98"/>
      <c r="M97" s="98"/>
      <c r="N97" s="99"/>
      <c r="O97" s="99"/>
      <c r="P97" s="99"/>
      <c r="Q97" s="99"/>
      <c r="R97" s="100"/>
      <c r="S97" s="100"/>
      <c r="T97" s="100"/>
      <c r="U97" s="100"/>
      <c r="V97" s="100"/>
      <c r="W97" s="100"/>
      <c r="X97" s="100"/>
      <c r="Y97" s="100"/>
      <c r="Z97" s="99"/>
      <c r="AA97" s="99"/>
      <c r="AB97" s="99"/>
      <c r="AC97" s="99"/>
      <c r="AD97" s="99"/>
      <c r="AE97" s="174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</row>
    <row r="98" spans="7:43" s="92" customFormat="1">
      <c r="G98" s="98"/>
      <c r="I98" s="98"/>
      <c r="K98" s="98"/>
      <c r="M98" s="98"/>
      <c r="N98" s="99"/>
      <c r="O98" s="99"/>
      <c r="P98" s="99"/>
      <c r="Q98" s="99"/>
      <c r="R98" s="100"/>
      <c r="S98" s="100"/>
      <c r="T98" s="100"/>
      <c r="U98" s="100"/>
      <c r="V98" s="100"/>
      <c r="W98" s="100"/>
      <c r="X98" s="100"/>
      <c r="Y98" s="100"/>
      <c r="Z98" s="99"/>
      <c r="AA98" s="99"/>
      <c r="AB98" s="99"/>
      <c r="AC98" s="99"/>
      <c r="AD98" s="99"/>
      <c r="AE98" s="174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</row>
    <row r="99" spans="7:43" s="92" customFormat="1">
      <c r="G99" s="98"/>
      <c r="I99" s="98"/>
      <c r="K99" s="98"/>
      <c r="M99" s="98"/>
      <c r="N99" s="99"/>
      <c r="O99" s="99"/>
      <c r="P99" s="99"/>
      <c r="Q99" s="99"/>
      <c r="R99" s="100"/>
      <c r="S99" s="100"/>
      <c r="T99" s="100"/>
      <c r="U99" s="100"/>
      <c r="V99" s="100"/>
      <c r="W99" s="100"/>
      <c r="X99" s="100"/>
      <c r="Y99" s="100"/>
      <c r="Z99" s="99"/>
      <c r="AA99" s="99"/>
      <c r="AB99" s="99"/>
      <c r="AC99" s="99"/>
      <c r="AD99" s="99"/>
      <c r="AE99" s="174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</row>
    <row r="100" spans="7:43" s="92" customFormat="1">
      <c r="G100" s="98"/>
      <c r="I100" s="98"/>
      <c r="K100" s="98"/>
      <c r="M100" s="98"/>
      <c r="N100" s="99"/>
      <c r="O100" s="99"/>
      <c r="P100" s="99"/>
      <c r="Q100" s="99"/>
      <c r="R100" s="100"/>
      <c r="S100" s="100"/>
      <c r="T100" s="100"/>
      <c r="U100" s="100"/>
      <c r="V100" s="100"/>
      <c r="W100" s="100"/>
      <c r="X100" s="100"/>
      <c r="Y100" s="100"/>
      <c r="Z100" s="99"/>
      <c r="AA100" s="99"/>
      <c r="AB100" s="99"/>
      <c r="AC100" s="99"/>
      <c r="AD100" s="99"/>
      <c r="AE100" s="174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</row>
    <row r="101" spans="7:43" s="92" customFormat="1">
      <c r="G101" s="98"/>
      <c r="I101" s="98"/>
      <c r="K101" s="98"/>
      <c r="M101" s="98"/>
      <c r="N101" s="99"/>
      <c r="O101" s="99"/>
      <c r="P101" s="99"/>
      <c r="Q101" s="99"/>
      <c r="R101" s="100"/>
      <c r="S101" s="100"/>
      <c r="T101" s="100"/>
      <c r="U101" s="100"/>
      <c r="V101" s="100"/>
      <c r="W101" s="100"/>
      <c r="X101" s="100"/>
      <c r="Y101" s="100"/>
      <c r="Z101" s="99"/>
      <c r="AA101" s="99"/>
      <c r="AB101" s="99"/>
      <c r="AC101" s="99"/>
      <c r="AD101" s="99"/>
      <c r="AE101" s="174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</row>
    <row r="102" spans="7:43" s="92" customFormat="1">
      <c r="G102" s="98"/>
      <c r="I102" s="98"/>
      <c r="K102" s="98"/>
      <c r="M102" s="98"/>
      <c r="N102" s="99"/>
      <c r="O102" s="99"/>
      <c r="P102" s="99"/>
      <c r="Q102" s="99"/>
      <c r="R102" s="100"/>
      <c r="S102" s="100"/>
      <c r="T102" s="100"/>
      <c r="U102" s="100"/>
      <c r="V102" s="100"/>
      <c r="W102" s="100"/>
      <c r="X102" s="100"/>
      <c r="Y102" s="100"/>
      <c r="Z102" s="99"/>
      <c r="AA102" s="99"/>
      <c r="AB102" s="99"/>
      <c r="AC102" s="99"/>
      <c r="AD102" s="99"/>
      <c r="AE102" s="174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</row>
    <row r="103" spans="7:43" s="92" customFormat="1">
      <c r="G103" s="98"/>
      <c r="I103" s="98"/>
      <c r="K103" s="98"/>
      <c r="M103" s="98"/>
      <c r="N103" s="99"/>
      <c r="O103" s="99"/>
      <c r="P103" s="99"/>
      <c r="Q103" s="99"/>
      <c r="R103" s="100"/>
      <c r="S103" s="100"/>
      <c r="T103" s="100"/>
      <c r="U103" s="100"/>
      <c r="V103" s="100"/>
      <c r="W103" s="100"/>
      <c r="X103" s="100"/>
      <c r="Y103" s="100"/>
      <c r="Z103" s="99"/>
      <c r="AA103" s="99"/>
      <c r="AB103" s="99"/>
      <c r="AC103" s="99"/>
      <c r="AD103" s="99"/>
      <c r="AE103" s="174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</row>
    <row r="104" spans="7:43" s="92" customFormat="1">
      <c r="G104" s="98"/>
      <c r="I104" s="98"/>
      <c r="K104" s="98"/>
      <c r="M104" s="98"/>
      <c r="N104" s="99"/>
      <c r="O104" s="99"/>
      <c r="P104" s="99"/>
      <c r="Q104" s="99"/>
      <c r="R104" s="100"/>
      <c r="S104" s="100"/>
      <c r="T104" s="100"/>
      <c r="U104" s="100"/>
      <c r="V104" s="100"/>
      <c r="W104" s="100"/>
      <c r="X104" s="100"/>
      <c r="Y104" s="100"/>
      <c r="Z104" s="99"/>
      <c r="AA104" s="99"/>
      <c r="AB104" s="99"/>
      <c r="AC104" s="99"/>
      <c r="AD104" s="99"/>
      <c r="AE104" s="174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</row>
    <row r="105" spans="7:43" s="92" customFormat="1">
      <c r="G105" s="98"/>
      <c r="I105" s="98"/>
      <c r="K105" s="98"/>
      <c r="M105" s="98"/>
      <c r="N105" s="99"/>
      <c r="O105" s="99"/>
      <c r="P105" s="99"/>
      <c r="Q105" s="99"/>
      <c r="R105" s="100"/>
      <c r="S105" s="100"/>
      <c r="T105" s="100"/>
      <c r="U105" s="100"/>
      <c r="V105" s="100"/>
      <c r="W105" s="100"/>
      <c r="X105" s="100"/>
      <c r="Y105" s="100"/>
      <c r="Z105" s="99"/>
      <c r="AA105" s="99"/>
      <c r="AB105" s="99"/>
      <c r="AC105" s="99"/>
      <c r="AD105" s="99"/>
      <c r="AE105" s="174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</row>
    <row r="106" spans="7:43" s="92" customFormat="1">
      <c r="G106" s="98"/>
      <c r="I106" s="98"/>
      <c r="K106" s="98"/>
      <c r="M106" s="98"/>
      <c r="N106" s="99"/>
      <c r="O106" s="99"/>
      <c r="P106" s="99"/>
      <c r="Q106" s="99"/>
      <c r="R106" s="100"/>
      <c r="S106" s="100"/>
      <c r="T106" s="100"/>
      <c r="U106" s="100"/>
      <c r="V106" s="100"/>
      <c r="W106" s="100"/>
      <c r="X106" s="100"/>
      <c r="Y106" s="100"/>
      <c r="Z106" s="99"/>
      <c r="AA106" s="99"/>
      <c r="AB106" s="99"/>
      <c r="AC106" s="99"/>
      <c r="AD106" s="99"/>
      <c r="AE106" s="174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</row>
    <row r="107" spans="7:43" s="92" customFormat="1">
      <c r="G107" s="98"/>
      <c r="I107" s="98"/>
      <c r="K107" s="98"/>
      <c r="M107" s="98"/>
      <c r="N107" s="99"/>
      <c r="O107" s="99"/>
      <c r="P107" s="99"/>
      <c r="Q107" s="99"/>
      <c r="R107" s="100"/>
      <c r="S107" s="100"/>
      <c r="T107" s="100"/>
      <c r="U107" s="100"/>
      <c r="V107" s="100"/>
      <c r="W107" s="100"/>
      <c r="X107" s="100"/>
      <c r="Y107" s="100"/>
      <c r="Z107" s="99"/>
      <c r="AA107" s="99"/>
      <c r="AB107" s="99"/>
      <c r="AC107" s="99"/>
      <c r="AD107" s="99"/>
      <c r="AE107" s="174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</row>
    <row r="108" spans="7:43" s="92" customFormat="1">
      <c r="G108" s="98"/>
      <c r="I108" s="98"/>
      <c r="K108" s="98"/>
      <c r="M108" s="98"/>
      <c r="N108" s="99"/>
      <c r="O108" s="99"/>
      <c r="P108" s="99"/>
      <c r="Q108" s="99"/>
      <c r="R108" s="100"/>
      <c r="S108" s="100"/>
      <c r="T108" s="100"/>
      <c r="U108" s="100"/>
      <c r="V108" s="100"/>
      <c r="W108" s="100"/>
      <c r="X108" s="100"/>
      <c r="Y108" s="100"/>
      <c r="Z108" s="99"/>
      <c r="AA108" s="99"/>
      <c r="AB108" s="99"/>
      <c r="AC108" s="99"/>
      <c r="AD108" s="99"/>
      <c r="AE108" s="174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</row>
    <row r="109" spans="7:43" s="92" customFormat="1">
      <c r="G109" s="98"/>
      <c r="I109" s="98"/>
      <c r="K109" s="98"/>
      <c r="M109" s="98"/>
      <c r="N109" s="99"/>
      <c r="O109" s="99"/>
      <c r="P109" s="99"/>
      <c r="Q109" s="99"/>
      <c r="R109" s="100"/>
      <c r="S109" s="100"/>
      <c r="T109" s="100"/>
      <c r="U109" s="100"/>
      <c r="V109" s="100"/>
      <c r="W109" s="100"/>
      <c r="X109" s="100"/>
      <c r="Y109" s="100"/>
      <c r="Z109" s="99"/>
      <c r="AA109" s="99"/>
      <c r="AB109" s="99"/>
      <c r="AC109" s="99"/>
      <c r="AD109" s="99"/>
      <c r="AE109" s="174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</row>
    <row r="110" spans="7:43" s="92" customFormat="1">
      <c r="G110" s="98"/>
      <c r="I110" s="98"/>
      <c r="K110" s="98"/>
      <c r="M110" s="98"/>
      <c r="N110" s="99"/>
      <c r="O110" s="99"/>
      <c r="P110" s="99"/>
      <c r="Q110" s="99"/>
      <c r="R110" s="100"/>
      <c r="S110" s="100"/>
      <c r="T110" s="100"/>
      <c r="U110" s="100"/>
      <c r="V110" s="100"/>
      <c r="W110" s="100"/>
      <c r="X110" s="100"/>
      <c r="Y110" s="100"/>
      <c r="Z110" s="99"/>
      <c r="AA110" s="99"/>
      <c r="AB110" s="99"/>
      <c r="AC110" s="99"/>
      <c r="AD110" s="99"/>
      <c r="AE110" s="174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</row>
    <row r="111" spans="7:43" s="92" customFormat="1">
      <c r="G111" s="98"/>
      <c r="I111" s="98"/>
      <c r="K111" s="98"/>
      <c r="M111" s="98"/>
      <c r="N111" s="99"/>
      <c r="O111" s="99"/>
      <c r="P111" s="99"/>
      <c r="Q111" s="99"/>
      <c r="R111" s="100"/>
      <c r="S111" s="100"/>
      <c r="T111" s="100"/>
      <c r="U111" s="100"/>
      <c r="V111" s="100"/>
      <c r="W111" s="100"/>
      <c r="X111" s="100"/>
      <c r="Y111" s="100"/>
      <c r="Z111" s="99"/>
      <c r="AA111" s="99"/>
      <c r="AB111" s="99"/>
      <c r="AC111" s="99"/>
      <c r="AD111" s="99"/>
      <c r="AE111" s="174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</row>
    <row r="112" spans="7:43" s="92" customFormat="1">
      <c r="G112" s="98"/>
      <c r="I112" s="98"/>
      <c r="K112" s="98"/>
      <c r="M112" s="98"/>
      <c r="N112" s="99"/>
      <c r="O112" s="99"/>
      <c r="P112" s="99"/>
      <c r="Q112" s="99"/>
      <c r="R112" s="100"/>
      <c r="S112" s="100"/>
      <c r="T112" s="100"/>
      <c r="U112" s="100"/>
      <c r="V112" s="100"/>
      <c r="W112" s="100"/>
      <c r="X112" s="100"/>
      <c r="Y112" s="100"/>
      <c r="Z112" s="99"/>
      <c r="AA112" s="99"/>
      <c r="AB112" s="99"/>
      <c r="AC112" s="99"/>
      <c r="AD112" s="99"/>
      <c r="AE112" s="174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</row>
    <row r="113" spans="7:43" s="92" customFormat="1">
      <c r="G113" s="98"/>
      <c r="I113" s="98"/>
      <c r="K113" s="98"/>
      <c r="M113" s="98"/>
      <c r="N113" s="99"/>
      <c r="O113" s="99"/>
      <c r="P113" s="99"/>
      <c r="Q113" s="99"/>
      <c r="R113" s="100"/>
      <c r="S113" s="100"/>
      <c r="T113" s="100"/>
      <c r="U113" s="100"/>
      <c r="V113" s="100"/>
      <c r="W113" s="100"/>
      <c r="X113" s="100"/>
      <c r="Y113" s="100"/>
      <c r="Z113" s="99"/>
      <c r="AA113" s="99"/>
      <c r="AB113" s="99"/>
      <c r="AC113" s="99"/>
      <c r="AD113" s="99"/>
      <c r="AE113" s="174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</row>
    <row r="114" spans="7:43" s="92" customFormat="1">
      <c r="G114" s="98"/>
      <c r="I114" s="98"/>
      <c r="K114" s="98"/>
      <c r="M114" s="98"/>
      <c r="N114" s="99"/>
      <c r="O114" s="99"/>
      <c r="P114" s="99"/>
      <c r="Q114" s="99"/>
      <c r="R114" s="100"/>
      <c r="S114" s="100"/>
      <c r="T114" s="100"/>
      <c r="U114" s="100"/>
      <c r="V114" s="100"/>
      <c r="W114" s="100"/>
      <c r="X114" s="100"/>
      <c r="Y114" s="100"/>
      <c r="Z114" s="99"/>
      <c r="AA114" s="99"/>
      <c r="AB114" s="99"/>
      <c r="AC114" s="99"/>
      <c r="AD114" s="99"/>
      <c r="AE114" s="174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</row>
    <row r="115" spans="7:43" s="92" customFormat="1">
      <c r="G115" s="98"/>
      <c r="I115" s="98"/>
      <c r="K115" s="98"/>
      <c r="M115" s="98"/>
      <c r="N115" s="99"/>
      <c r="O115" s="99"/>
      <c r="P115" s="99"/>
      <c r="Q115" s="99"/>
      <c r="R115" s="100"/>
      <c r="S115" s="100"/>
      <c r="T115" s="100"/>
      <c r="U115" s="100"/>
      <c r="V115" s="100"/>
      <c r="W115" s="100"/>
      <c r="X115" s="100"/>
      <c r="Y115" s="100"/>
      <c r="Z115" s="99"/>
      <c r="AA115" s="99"/>
      <c r="AB115" s="99"/>
      <c r="AC115" s="99"/>
      <c r="AD115" s="99"/>
      <c r="AE115" s="174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</row>
    <row r="116" spans="7:43" s="92" customFormat="1">
      <c r="G116" s="98"/>
      <c r="I116" s="98"/>
      <c r="K116" s="98"/>
      <c r="M116" s="98"/>
      <c r="N116" s="99"/>
      <c r="O116" s="99"/>
      <c r="P116" s="99"/>
      <c r="Q116" s="99"/>
      <c r="R116" s="100"/>
      <c r="S116" s="100"/>
      <c r="T116" s="100"/>
      <c r="U116" s="100"/>
      <c r="V116" s="100"/>
      <c r="W116" s="100"/>
      <c r="X116" s="100"/>
      <c r="Y116" s="100"/>
      <c r="Z116" s="99"/>
      <c r="AA116" s="99"/>
      <c r="AB116" s="99"/>
      <c r="AC116" s="99"/>
      <c r="AD116" s="99"/>
      <c r="AE116" s="174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</row>
    <row r="117" spans="7:43" s="92" customFormat="1">
      <c r="G117" s="98"/>
      <c r="I117" s="98"/>
      <c r="K117" s="98"/>
      <c r="M117" s="98"/>
      <c r="N117" s="99"/>
      <c r="O117" s="99"/>
      <c r="P117" s="99"/>
      <c r="Q117" s="99"/>
      <c r="R117" s="100"/>
      <c r="S117" s="100"/>
      <c r="T117" s="100"/>
      <c r="U117" s="100"/>
      <c r="V117" s="100"/>
      <c r="W117" s="100"/>
      <c r="X117" s="100"/>
      <c r="Y117" s="100"/>
      <c r="Z117" s="99"/>
      <c r="AA117" s="99"/>
      <c r="AB117" s="99"/>
      <c r="AC117" s="99"/>
      <c r="AD117" s="99"/>
      <c r="AE117" s="174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</row>
    <row r="118" spans="7:43" s="92" customFormat="1">
      <c r="G118" s="98"/>
      <c r="I118" s="98"/>
      <c r="K118" s="98"/>
      <c r="M118" s="98"/>
      <c r="N118" s="99"/>
      <c r="O118" s="99"/>
      <c r="P118" s="99"/>
      <c r="Q118" s="99"/>
      <c r="R118" s="100"/>
      <c r="S118" s="100"/>
      <c r="T118" s="100"/>
      <c r="U118" s="100"/>
      <c r="V118" s="100"/>
      <c r="W118" s="100"/>
      <c r="X118" s="100"/>
      <c r="Y118" s="100"/>
      <c r="Z118" s="99"/>
      <c r="AA118" s="99"/>
      <c r="AB118" s="99"/>
      <c r="AC118" s="99"/>
      <c r="AD118" s="99"/>
      <c r="AE118" s="174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</row>
    <row r="119" spans="7:43" s="92" customFormat="1">
      <c r="G119" s="98"/>
      <c r="I119" s="98"/>
      <c r="K119" s="98"/>
      <c r="M119" s="98"/>
      <c r="N119" s="99"/>
      <c r="O119" s="99"/>
      <c r="P119" s="99"/>
      <c r="Q119" s="99"/>
      <c r="R119" s="100"/>
      <c r="S119" s="100"/>
      <c r="T119" s="100"/>
      <c r="U119" s="100"/>
      <c r="V119" s="100"/>
      <c r="W119" s="100"/>
      <c r="X119" s="100"/>
      <c r="Y119" s="100"/>
      <c r="Z119" s="99"/>
      <c r="AA119" s="99"/>
      <c r="AB119" s="99"/>
      <c r="AC119" s="99"/>
      <c r="AD119" s="99"/>
      <c r="AE119" s="174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</row>
    <row r="120" spans="7:43" s="92" customFormat="1">
      <c r="G120" s="98"/>
      <c r="I120" s="98"/>
      <c r="K120" s="98"/>
      <c r="M120" s="98"/>
      <c r="N120" s="99"/>
      <c r="O120" s="99"/>
      <c r="P120" s="99"/>
      <c r="Q120" s="99"/>
      <c r="R120" s="100"/>
      <c r="S120" s="100"/>
      <c r="T120" s="100"/>
      <c r="U120" s="100"/>
      <c r="V120" s="100"/>
      <c r="W120" s="100"/>
      <c r="X120" s="100"/>
      <c r="Y120" s="100"/>
      <c r="Z120" s="99"/>
      <c r="AA120" s="99"/>
      <c r="AB120" s="99"/>
      <c r="AC120" s="99"/>
      <c r="AD120" s="99"/>
      <c r="AE120" s="174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</row>
    <row r="121" spans="7:43" s="92" customFormat="1">
      <c r="G121" s="98"/>
      <c r="I121" s="98"/>
      <c r="K121" s="98"/>
      <c r="M121" s="98"/>
      <c r="N121" s="99"/>
      <c r="O121" s="99"/>
      <c r="P121" s="99"/>
      <c r="Q121" s="99"/>
      <c r="R121" s="100"/>
      <c r="S121" s="100"/>
      <c r="T121" s="100"/>
      <c r="U121" s="100"/>
      <c r="V121" s="100"/>
      <c r="W121" s="100"/>
      <c r="X121" s="100"/>
      <c r="Y121" s="100"/>
      <c r="Z121" s="99"/>
      <c r="AA121" s="99"/>
      <c r="AB121" s="99"/>
      <c r="AC121" s="99"/>
      <c r="AD121" s="99"/>
      <c r="AE121" s="174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</row>
    <row r="122" spans="7:43" s="92" customFormat="1">
      <c r="G122" s="98"/>
      <c r="I122" s="98"/>
      <c r="K122" s="98"/>
      <c r="M122" s="98"/>
      <c r="N122" s="99"/>
      <c r="O122" s="99"/>
      <c r="P122" s="99"/>
      <c r="Q122" s="99"/>
      <c r="R122" s="100"/>
      <c r="S122" s="100"/>
      <c r="T122" s="100"/>
      <c r="U122" s="100"/>
      <c r="V122" s="100"/>
      <c r="W122" s="100"/>
      <c r="X122" s="100"/>
      <c r="Y122" s="100"/>
      <c r="Z122" s="99"/>
      <c r="AA122" s="99"/>
      <c r="AB122" s="99"/>
      <c r="AC122" s="99"/>
      <c r="AD122" s="99"/>
      <c r="AE122" s="174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</row>
    <row r="123" spans="7:43" s="92" customFormat="1">
      <c r="G123" s="98"/>
      <c r="I123" s="98"/>
      <c r="K123" s="98"/>
      <c r="M123" s="98"/>
      <c r="N123" s="99"/>
      <c r="O123" s="99"/>
      <c r="P123" s="99"/>
      <c r="Q123" s="99"/>
      <c r="R123" s="100"/>
      <c r="S123" s="100"/>
      <c r="T123" s="100"/>
      <c r="U123" s="100"/>
      <c r="V123" s="100"/>
      <c r="W123" s="100"/>
      <c r="X123" s="100"/>
      <c r="Y123" s="100"/>
      <c r="Z123" s="99"/>
      <c r="AA123" s="99"/>
      <c r="AB123" s="99"/>
      <c r="AC123" s="99"/>
      <c r="AD123" s="99"/>
      <c r="AE123" s="174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</row>
    <row r="124" spans="7:43" s="92" customFormat="1">
      <c r="G124" s="98"/>
      <c r="I124" s="98"/>
      <c r="K124" s="98"/>
      <c r="M124" s="98"/>
      <c r="N124" s="99"/>
      <c r="O124" s="99"/>
      <c r="P124" s="99"/>
      <c r="Q124" s="99"/>
      <c r="R124" s="100"/>
      <c r="S124" s="100"/>
      <c r="T124" s="100"/>
      <c r="U124" s="100"/>
      <c r="V124" s="100"/>
      <c r="W124" s="100"/>
      <c r="X124" s="100"/>
      <c r="Y124" s="100"/>
      <c r="Z124" s="99"/>
      <c r="AA124" s="99"/>
      <c r="AB124" s="99"/>
      <c r="AC124" s="99"/>
      <c r="AD124" s="99"/>
      <c r="AE124" s="174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</row>
    <row r="125" spans="7:43" s="92" customFormat="1">
      <c r="G125" s="98"/>
      <c r="I125" s="98"/>
      <c r="K125" s="98"/>
      <c r="M125" s="98"/>
      <c r="N125" s="99"/>
      <c r="O125" s="99"/>
      <c r="P125" s="99"/>
      <c r="Q125" s="99"/>
      <c r="R125" s="100"/>
      <c r="S125" s="100"/>
      <c r="T125" s="100"/>
      <c r="U125" s="100"/>
      <c r="V125" s="100"/>
      <c r="W125" s="100"/>
      <c r="X125" s="100"/>
      <c r="Y125" s="100"/>
      <c r="Z125" s="99"/>
      <c r="AA125" s="99"/>
      <c r="AB125" s="99"/>
      <c r="AC125" s="99"/>
      <c r="AD125" s="99"/>
      <c r="AE125" s="174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</row>
    <row r="126" spans="7:43" s="92" customFormat="1">
      <c r="G126" s="98"/>
      <c r="I126" s="98"/>
      <c r="K126" s="98"/>
      <c r="M126" s="98"/>
      <c r="N126" s="99"/>
      <c r="O126" s="99"/>
      <c r="P126" s="99"/>
      <c r="Q126" s="99"/>
      <c r="R126" s="100"/>
      <c r="S126" s="100"/>
      <c r="T126" s="100"/>
      <c r="U126" s="100"/>
      <c r="V126" s="100"/>
      <c r="W126" s="100"/>
      <c r="X126" s="100"/>
      <c r="Y126" s="100"/>
      <c r="Z126" s="99"/>
      <c r="AA126" s="99"/>
      <c r="AB126" s="99"/>
      <c r="AC126" s="99"/>
      <c r="AD126" s="99"/>
      <c r="AE126" s="174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</row>
    <row r="127" spans="7:43" s="92" customFormat="1">
      <c r="G127" s="98"/>
      <c r="I127" s="98"/>
      <c r="K127" s="98"/>
      <c r="M127" s="98"/>
      <c r="N127" s="99"/>
      <c r="O127" s="99"/>
      <c r="P127" s="99"/>
      <c r="Q127" s="99"/>
      <c r="R127" s="100"/>
      <c r="S127" s="100"/>
      <c r="T127" s="100"/>
      <c r="U127" s="100"/>
      <c r="V127" s="100"/>
      <c r="W127" s="100"/>
      <c r="X127" s="100"/>
      <c r="Y127" s="100"/>
      <c r="Z127" s="99"/>
      <c r="AA127" s="99"/>
      <c r="AB127" s="99"/>
      <c r="AC127" s="99"/>
      <c r="AD127" s="99"/>
      <c r="AE127" s="174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</row>
    <row r="128" spans="7:43" s="92" customFormat="1">
      <c r="G128" s="98"/>
      <c r="I128" s="98"/>
      <c r="K128" s="98"/>
      <c r="M128" s="98"/>
      <c r="N128" s="99"/>
      <c r="O128" s="99"/>
      <c r="P128" s="99"/>
      <c r="Q128" s="99"/>
      <c r="R128" s="100"/>
      <c r="S128" s="100"/>
      <c r="T128" s="100"/>
      <c r="U128" s="100"/>
      <c r="V128" s="100"/>
      <c r="W128" s="100"/>
      <c r="X128" s="100"/>
      <c r="Y128" s="100"/>
      <c r="Z128" s="99"/>
      <c r="AA128" s="99"/>
      <c r="AB128" s="99"/>
      <c r="AC128" s="99"/>
      <c r="AD128" s="99"/>
      <c r="AE128" s="174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</row>
    <row r="129" spans="7:43" s="92" customFormat="1">
      <c r="G129" s="98"/>
      <c r="I129" s="98"/>
      <c r="K129" s="98"/>
      <c r="M129" s="98"/>
      <c r="N129" s="99"/>
      <c r="O129" s="99"/>
      <c r="P129" s="99"/>
      <c r="Q129" s="99"/>
      <c r="R129" s="100"/>
      <c r="S129" s="100"/>
      <c r="T129" s="100"/>
      <c r="U129" s="100"/>
      <c r="V129" s="100"/>
      <c r="W129" s="100"/>
      <c r="X129" s="100"/>
      <c r="Y129" s="100"/>
      <c r="Z129" s="99"/>
      <c r="AA129" s="99"/>
      <c r="AB129" s="99"/>
      <c r="AC129" s="99"/>
      <c r="AD129" s="99"/>
      <c r="AE129" s="174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</row>
    <row r="130" spans="7:43" s="92" customFormat="1">
      <c r="G130" s="98"/>
      <c r="I130" s="98"/>
      <c r="K130" s="98"/>
      <c r="M130" s="98"/>
      <c r="N130" s="99"/>
      <c r="O130" s="99"/>
      <c r="P130" s="99"/>
      <c r="Q130" s="99"/>
      <c r="R130" s="100"/>
      <c r="S130" s="100"/>
      <c r="T130" s="100"/>
      <c r="U130" s="100"/>
      <c r="V130" s="100"/>
      <c r="W130" s="100"/>
      <c r="X130" s="100"/>
      <c r="Y130" s="100"/>
      <c r="Z130" s="99"/>
      <c r="AA130" s="99"/>
      <c r="AB130" s="99"/>
      <c r="AC130" s="99"/>
      <c r="AD130" s="99"/>
      <c r="AE130" s="174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</row>
    <row r="131" spans="7:43" s="92" customFormat="1" hidden="1">
      <c r="G131" s="98"/>
      <c r="I131" s="98"/>
      <c r="K131" s="98"/>
      <c r="M131" s="98"/>
      <c r="N131" s="99"/>
      <c r="O131" s="99"/>
      <c r="P131" s="99"/>
      <c r="Q131" s="99"/>
      <c r="R131" s="100"/>
      <c r="S131" s="100"/>
      <c r="T131" s="100"/>
      <c r="U131" s="100"/>
      <c r="V131" s="100"/>
      <c r="W131" s="100"/>
      <c r="X131" s="100"/>
      <c r="Y131" s="100"/>
      <c r="Z131" s="99"/>
      <c r="AA131" s="99"/>
      <c r="AB131" s="99"/>
      <c r="AC131" s="99"/>
      <c r="AD131" s="99"/>
      <c r="AE131" s="174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</row>
    <row r="132" spans="7:43" s="92" customFormat="1" hidden="1">
      <c r="G132" s="98"/>
      <c r="I132" s="98"/>
      <c r="K132" s="98"/>
      <c r="M132" s="98"/>
      <c r="N132" s="99"/>
      <c r="O132" s="99"/>
      <c r="P132" s="99"/>
      <c r="Q132" s="99"/>
      <c r="R132" s="100"/>
      <c r="S132" s="100"/>
      <c r="T132" s="100"/>
      <c r="U132" s="100"/>
      <c r="V132" s="100"/>
      <c r="W132" s="100"/>
      <c r="X132" s="100"/>
      <c r="Y132" s="100"/>
      <c r="Z132" s="99"/>
      <c r="AA132" s="99"/>
      <c r="AB132" s="99"/>
      <c r="AC132" s="99"/>
      <c r="AD132" s="99"/>
      <c r="AE132" s="174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</row>
    <row r="133" spans="7:43"/>
    <row r="134" spans="7:43"/>
    <row r="135" spans="7:43"/>
    <row r="136" spans="7:43"/>
    <row r="137" spans="7:43"/>
    <row r="138" spans="7:43"/>
    <row r="139" spans="7:43"/>
    <row r="140" spans="7:43"/>
    <row r="141" spans="7:43"/>
    <row r="142" spans="7:43"/>
    <row r="143" spans="7:43"/>
    <row r="144" spans="7:43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</sheetData>
  <sheetProtection formatCells="0" formatColumns="0" formatRows="0" insertRows="0" deleteRows="0"/>
  <mergeCells count="45">
    <mergeCell ref="AK6:AQ6"/>
    <mergeCell ref="N6:U6"/>
    <mergeCell ref="AG7:AG8"/>
    <mergeCell ref="AH7:AH8"/>
    <mergeCell ref="AI7:AI8"/>
    <mergeCell ref="AE7:AE8"/>
    <mergeCell ref="AF7:AF8"/>
    <mergeCell ref="AJ7:AJ8"/>
    <mergeCell ref="AK7:AK8"/>
    <mergeCell ref="Z6:AJ6"/>
    <mergeCell ref="AC7:AC8"/>
    <mergeCell ref="AB7:AB8"/>
    <mergeCell ref="Z7:Z8"/>
    <mergeCell ref="AL7:AL8"/>
    <mergeCell ref="AM7:AM8"/>
    <mergeCell ref="AQ7:AQ8"/>
    <mergeCell ref="AN7:AN8"/>
    <mergeCell ref="AO7:AO8"/>
    <mergeCell ref="AP7:AP8"/>
    <mergeCell ref="C69:F69"/>
    <mergeCell ref="C63:F63"/>
    <mergeCell ref="C64:F64"/>
    <mergeCell ref="C65:F65"/>
    <mergeCell ref="C66:F66"/>
    <mergeCell ref="C67:F67"/>
    <mergeCell ref="Y7:Y8"/>
    <mergeCell ref="X7:X8"/>
    <mergeCell ref="S7:S8"/>
    <mergeCell ref="N7:N8"/>
    <mergeCell ref="O7:O8"/>
    <mergeCell ref="P7:P8"/>
    <mergeCell ref="R7:R8"/>
    <mergeCell ref="U7:U8"/>
    <mergeCell ref="C5:G5"/>
    <mergeCell ref="C61:G61"/>
    <mergeCell ref="C68:F68"/>
    <mergeCell ref="F7:G7"/>
    <mergeCell ref="A6:E7"/>
    <mergeCell ref="A5:B5"/>
    <mergeCell ref="F6:M6"/>
    <mergeCell ref="H7:I7"/>
    <mergeCell ref="J7:K7"/>
    <mergeCell ref="L7:M7"/>
    <mergeCell ref="Q7:Q8"/>
    <mergeCell ref="C62:F62"/>
  </mergeCells>
  <dataValidations count="6">
    <dataValidation type="list" showInputMessage="1" showErrorMessage="1" sqref="J9:J57 F9:F57 H9:H57 L9:L57" xr:uid="{00000000-0002-0000-0200-000001000000}">
      <formula1>Who</formula1>
    </dataValidation>
    <dataValidation type="list" showInputMessage="1" showErrorMessage="1" sqref="E9:E57" xr:uid="{00000000-0002-0000-0200-000002000000}">
      <formula1>YesNo</formula1>
    </dataValidation>
    <dataValidation type="list" showInputMessage="1" showErrorMessage="1" sqref="U9:U57" xr:uid="{00000000-0002-0000-0200-000003000000}">
      <formula1>PropType</formula1>
    </dataValidation>
    <dataValidation type="list" allowBlank="1" showInputMessage="1" showErrorMessage="1" sqref="T9:T57" xr:uid="{00000000-0002-0000-0200-000004000000}">
      <formula1>"Residential,MultiFamily,Commercial,Industrial,Agricultural,Recreational"</formula1>
    </dataValidation>
    <dataValidation type="list" showInputMessage="1" showErrorMessage="1" sqref="C9:C57" xr:uid="{FCDBB417-BE9D-44DE-BCB9-5DA875EFE19E}">
      <formula1>$G$62:$G$69</formula1>
    </dataValidation>
    <dataValidation type="list" showInputMessage="1" showErrorMessage="1" sqref="D9:D57" xr:uid="{98A7DE33-FEF5-42D8-B361-3951E413D6DE}">
      <formula1>$C$73:$C$76</formula1>
    </dataValidation>
  </dataValidations>
  <pageMargins left="0.25" right="0.25" top="0.75" bottom="0.75" header="0.3" footer="0.3"/>
  <pageSetup paperSize="17" scale="72" fitToWidth="0" orientation="landscape" r:id="rId1"/>
  <headerFooter>
    <oddFooter>Page &amp;P&amp;R&amp;A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5"/>
  <sheetViews>
    <sheetView zoomScale="75" zoomScaleNormal="75" workbookViewId="0">
      <selection activeCell="B13" sqref="B13:M13"/>
    </sheetView>
  </sheetViews>
  <sheetFormatPr defaultRowHeight="12.75"/>
  <cols>
    <col min="2" max="2" width="46.5703125" customWidth="1"/>
    <col min="3" max="3" width="12.42578125" bestFit="1" customWidth="1"/>
    <col min="4" max="4" width="13.42578125" customWidth="1"/>
    <col min="5" max="5" width="15.5703125" customWidth="1"/>
    <col min="6" max="6" width="11.5703125" customWidth="1"/>
    <col min="7" max="7" width="16.42578125" customWidth="1"/>
    <col min="8" max="8" width="13.140625" customWidth="1"/>
    <col min="9" max="9" width="20.85546875" customWidth="1"/>
    <col min="10" max="10" width="16.5703125" customWidth="1"/>
    <col min="11" max="11" width="16" customWidth="1"/>
    <col min="12" max="12" width="17.5703125" customWidth="1"/>
    <col min="13" max="13" width="14.5703125" customWidth="1"/>
  </cols>
  <sheetData>
    <row r="1" spans="1:13" ht="20.25">
      <c r="A1" s="403" t="s">
        <v>73</v>
      </c>
      <c r="B1" s="403"/>
      <c r="E1" s="404" t="s">
        <v>1</v>
      </c>
      <c r="F1" s="404"/>
      <c r="G1" s="404"/>
      <c r="H1" s="402" t="s">
        <v>2</v>
      </c>
      <c r="I1" s="402"/>
      <c r="J1" s="402"/>
    </row>
    <row r="2" spans="1:13" ht="20.25">
      <c r="A2" s="262"/>
      <c r="B2" s="262"/>
      <c r="E2" s="238"/>
      <c r="F2" s="238"/>
      <c r="G2" s="238"/>
      <c r="H2" s="238"/>
      <c r="I2" s="238"/>
      <c r="J2" s="238"/>
    </row>
    <row r="3" spans="1:13" ht="20.25">
      <c r="A3" s="262"/>
      <c r="B3" s="46" t="s">
        <v>3</v>
      </c>
      <c r="C3" s="241" t="str">
        <f>'Project Wide Estimates'!C3</f>
        <v>123-45-6789</v>
      </c>
      <c r="E3" s="238"/>
      <c r="F3" s="238"/>
      <c r="G3" s="238"/>
      <c r="H3" s="238"/>
      <c r="I3" s="238"/>
      <c r="J3" s="238"/>
    </row>
    <row r="4" spans="1:13" ht="20.25">
      <c r="A4" s="262"/>
      <c r="B4" s="46" t="s">
        <v>5</v>
      </c>
      <c r="C4" s="241" t="str">
        <f>'Project Wide Estimates'!C4</f>
        <v>Smith Street to County Line</v>
      </c>
      <c r="E4" s="238"/>
      <c r="F4" s="238"/>
      <c r="G4" s="239" t="s">
        <v>6</v>
      </c>
      <c r="H4" s="261">
        <f>'Project Wide Estimates'!J4</f>
        <v>44013</v>
      </c>
      <c r="I4" s="238"/>
      <c r="J4" s="238"/>
    </row>
    <row r="5" spans="1:13" ht="20.25">
      <c r="A5" s="262"/>
      <c r="B5" s="46" t="s">
        <v>7</v>
      </c>
      <c r="C5" s="241" t="str">
        <f>'Project Wide Estimates'!C5</f>
        <v>STH 123</v>
      </c>
      <c r="E5" s="238"/>
      <c r="F5" s="238"/>
      <c r="G5" s="239"/>
      <c r="H5" s="238"/>
      <c r="I5" s="238"/>
      <c r="J5" s="238"/>
    </row>
    <row r="6" spans="1:13" ht="20.25">
      <c r="A6" s="262"/>
      <c r="B6" s="46" t="s">
        <v>8</v>
      </c>
      <c r="C6" s="241" t="str">
        <f>'Project Wide Estimates'!C6</f>
        <v>Acme</v>
      </c>
      <c r="E6" s="238"/>
      <c r="F6" s="238"/>
      <c r="G6" s="240" t="s">
        <v>74</v>
      </c>
      <c r="H6" s="261" t="str">
        <f>'Project Wide Estimates'!J6</f>
        <v>JPA</v>
      </c>
      <c r="I6" s="238"/>
      <c r="J6" s="238"/>
    </row>
    <row r="7" spans="1:13">
      <c r="A7" s="230" t="s">
        <v>75</v>
      </c>
    </row>
    <row r="8" spans="1:13" ht="13.5" thickBot="1"/>
    <row r="9" spans="1:13" ht="15.75">
      <c r="B9" s="42" t="s">
        <v>10</v>
      </c>
      <c r="C9" s="41" t="s">
        <v>10</v>
      </c>
      <c r="D9" s="40" t="s">
        <v>11</v>
      </c>
      <c r="E9" s="40" t="s">
        <v>12</v>
      </c>
      <c r="F9" s="40" t="s">
        <v>10</v>
      </c>
      <c r="G9" s="40"/>
      <c r="H9" s="40" t="s">
        <v>10</v>
      </c>
      <c r="I9" s="40" t="s">
        <v>10</v>
      </c>
      <c r="J9" s="40" t="s">
        <v>13</v>
      </c>
      <c r="K9" s="40" t="s">
        <v>14</v>
      </c>
      <c r="L9" s="39" t="s">
        <v>15</v>
      </c>
      <c r="M9" s="37" t="s">
        <v>15</v>
      </c>
    </row>
    <row r="10" spans="1:13" ht="15.75">
      <c r="B10" s="62"/>
      <c r="C10" s="35" t="s">
        <v>17</v>
      </c>
      <c r="D10" s="35" t="s">
        <v>18</v>
      </c>
      <c r="E10" s="35" t="s">
        <v>19</v>
      </c>
      <c r="F10" s="35" t="s">
        <v>20</v>
      </c>
      <c r="G10" s="38" t="s">
        <v>21</v>
      </c>
      <c r="H10" s="35" t="s">
        <v>22</v>
      </c>
      <c r="I10" s="35" t="s">
        <v>23</v>
      </c>
      <c r="J10" s="35" t="s">
        <v>24</v>
      </c>
      <c r="K10" s="35" t="s">
        <v>25</v>
      </c>
      <c r="L10" s="34" t="s">
        <v>26</v>
      </c>
      <c r="M10" s="37" t="s">
        <v>27</v>
      </c>
    </row>
    <row r="11" spans="1:13" ht="15.75">
      <c r="B11" s="36" t="s">
        <v>28</v>
      </c>
      <c r="C11" s="35" t="s">
        <v>29</v>
      </c>
      <c r="D11" s="35">
        <v>104</v>
      </c>
      <c r="E11" s="35" t="s">
        <v>30</v>
      </c>
      <c r="F11" s="35">
        <v>255</v>
      </c>
      <c r="G11" s="35">
        <v>253</v>
      </c>
      <c r="H11" s="35" t="s">
        <v>31</v>
      </c>
      <c r="I11" s="35" t="s">
        <v>32</v>
      </c>
      <c r="J11" s="35" t="s">
        <v>33</v>
      </c>
      <c r="K11" s="35" t="s">
        <v>34</v>
      </c>
      <c r="L11" s="34" t="s">
        <v>35</v>
      </c>
      <c r="M11" s="33" t="s">
        <v>22</v>
      </c>
    </row>
    <row r="12" spans="1:13" ht="13.5" thickBot="1">
      <c r="B12" s="273"/>
      <c r="C12" s="274"/>
      <c r="D12" s="274"/>
      <c r="E12" s="274"/>
      <c r="F12" s="274"/>
      <c r="G12" s="274"/>
      <c r="H12" s="274"/>
      <c r="I12" s="274"/>
      <c r="J12" s="274"/>
      <c r="K12" s="274"/>
      <c r="L12" s="275"/>
      <c r="M12" s="276"/>
    </row>
    <row r="13" spans="1:13" ht="15.75">
      <c r="B13" s="323" t="s">
        <v>301</v>
      </c>
      <c r="C13" s="183">
        <f>COUNTIF('Individual Parcel Estimate'!C9:C57,"W")</f>
        <v>0</v>
      </c>
      <c r="D13" s="31">
        <f>C13*'Project Wide Estimates'!D12</f>
        <v>0</v>
      </c>
      <c r="E13" s="31">
        <f>C13*'Project Wide Estimates'!E12</f>
        <v>0</v>
      </c>
      <c r="F13" s="31">
        <f>C13*'Project Wide Estimates'!F12</f>
        <v>0</v>
      </c>
      <c r="G13" s="31">
        <f>C13*'Project Wide Estimates'!G12</f>
        <v>0</v>
      </c>
      <c r="H13" s="31">
        <f>C13*'Project Wide Estimates'!H12</f>
        <v>0</v>
      </c>
      <c r="I13" s="31">
        <f>C13*'Project Wide Estimates'!I12</f>
        <v>0</v>
      </c>
      <c r="J13" s="237">
        <f>C13*'Project Wide Estimates'!J12</f>
        <v>0</v>
      </c>
      <c r="K13" s="31">
        <f>C13*'Project Wide Estimates'!K12</f>
        <v>0</v>
      </c>
      <c r="L13" s="30">
        <f>SUM(D13:K13)</f>
        <v>0</v>
      </c>
      <c r="M13" s="29">
        <f>L13-H13</f>
        <v>0</v>
      </c>
    </row>
    <row r="14" spans="1:13" ht="15.75">
      <c r="B14" s="32" t="s">
        <v>36</v>
      </c>
      <c r="C14" s="183">
        <f>COUNTIF('Individual Parcel Estimate'!C9:C57,"N")</f>
        <v>0</v>
      </c>
      <c r="D14" s="31">
        <f>C14*'Project Wide Estimates'!D13</f>
        <v>0</v>
      </c>
      <c r="E14" s="31">
        <f>C14*'Project Wide Estimates'!E13</f>
        <v>0</v>
      </c>
      <c r="F14" s="31">
        <f>C14*'Project Wide Estimates'!F13</f>
        <v>0</v>
      </c>
      <c r="G14" s="31">
        <f>C14*'Project Wide Estimates'!G13</f>
        <v>0</v>
      </c>
      <c r="H14" s="31">
        <f>C14*'Project Wide Estimates'!H13</f>
        <v>0</v>
      </c>
      <c r="I14" s="31">
        <f>C14*'Project Wide Estimates'!I13</f>
        <v>0</v>
      </c>
      <c r="J14" s="237">
        <f>C14*'Project Wide Estimates'!J13</f>
        <v>0</v>
      </c>
      <c r="K14" s="31">
        <f>C14*'Project Wide Estimates'!K13</f>
        <v>0</v>
      </c>
      <c r="L14" s="30">
        <f t="shared" ref="L14:L20" si="0">SUM(D14:K14)</f>
        <v>0</v>
      </c>
      <c r="M14" s="29">
        <f>L14-H14</f>
        <v>0</v>
      </c>
    </row>
    <row r="15" spans="1:13" ht="15.75">
      <c r="B15" s="32" t="s">
        <v>37</v>
      </c>
      <c r="C15" s="183">
        <f>COUNTIF('Individual Parcel Estimate'!C9:C57, "I")</f>
        <v>0</v>
      </c>
      <c r="D15" s="31">
        <f>C15*'Project Wide Estimates'!D14</f>
        <v>0</v>
      </c>
      <c r="E15" s="31">
        <f>C15*'Project Wide Estimates'!E14</f>
        <v>0</v>
      </c>
      <c r="F15" s="31">
        <f>C15*'Project Wide Estimates'!F14</f>
        <v>0</v>
      </c>
      <c r="G15" s="31">
        <f>C15*'Project Wide Estimates'!G14</f>
        <v>0</v>
      </c>
      <c r="H15" s="31">
        <f>C15*'Project Wide Estimates'!H14</f>
        <v>0</v>
      </c>
      <c r="I15" s="31">
        <f>C15*'Project Wide Estimates'!I14</f>
        <v>0</v>
      </c>
      <c r="J15" s="237">
        <f>C15*'Project Wide Estimates'!J14</f>
        <v>0</v>
      </c>
      <c r="K15" s="31">
        <f>C15*'Project Wide Estimates'!K14</f>
        <v>0</v>
      </c>
      <c r="L15" s="30">
        <f t="shared" si="0"/>
        <v>0</v>
      </c>
      <c r="M15" s="29">
        <f t="shared" ref="M15:M20" si="1">L15-H15</f>
        <v>0</v>
      </c>
    </row>
    <row r="16" spans="1:13" ht="15.75">
      <c r="B16" s="32" t="s">
        <v>42</v>
      </c>
      <c r="C16" s="183">
        <f>COUNTIF('Individual Parcel Estimate'!C9:C57, "II")</f>
        <v>0</v>
      </c>
      <c r="D16" s="31">
        <f>C16*'Project Wide Estimates'!D15</f>
        <v>0</v>
      </c>
      <c r="E16" s="31">
        <f>C16*'Project Wide Estimates'!E15</f>
        <v>0</v>
      </c>
      <c r="F16" s="31">
        <f>C16*'Project Wide Estimates'!F15</f>
        <v>0</v>
      </c>
      <c r="G16" s="31">
        <f>C16*'Project Wide Estimates'!G15</f>
        <v>0</v>
      </c>
      <c r="H16" s="31">
        <f>C16*'Project Wide Estimates'!H15</f>
        <v>0</v>
      </c>
      <c r="I16" s="31">
        <f>C16*'Project Wide Estimates'!I15</f>
        <v>0</v>
      </c>
      <c r="J16" s="237">
        <f>C16*'Project Wide Estimates'!J15</f>
        <v>0</v>
      </c>
      <c r="K16" s="31">
        <f>C16*'Project Wide Estimates'!K15</f>
        <v>0</v>
      </c>
      <c r="L16" s="30">
        <f t="shared" si="0"/>
        <v>0</v>
      </c>
      <c r="M16" s="29">
        <f t="shared" si="1"/>
        <v>0</v>
      </c>
    </row>
    <row r="17" spans="2:13" ht="15.75">
      <c r="B17" s="32" t="s">
        <v>44</v>
      </c>
      <c r="C17" s="183">
        <f>COUNTIF('Individual Parcel Estimate'!C9:C57, "M")</f>
        <v>0</v>
      </c>
      <c r="D17" s="31">
        <f>C17*'Project Wide Estimates'!D16</f>
        <v>0</v>
      </c>
      <c r="E17" s="31">
        <f>C17*'Project Wide Estimates'!E16</f>
        <v>0</v>
      </c>
      <c r="F17" s="31">
        <f>C17*'Project Wide Estimates'!F16</f>
        <v>0</v>
      </c>
      <c r="G17" s="31">
        <f>C17*'Project Wide Estimates'!G16</f>
        <v>0</v>
      </c>
      <c r="H17" s="31">
        <f>C17*'Project Wide Estimates'!H16</f>
        <v>0</v>
      </c>
      <c r="I17" s="31">
        <f>C17*'Project Wide Estimates'!I16</f>
        <v>0</v>
      </c>
      <c r="J17" s="237">
        <f>C17*'Project Wide Estimates'!J16</f>
        <v>0</v>
      </c>
      <c r="K17" s="31">
        <f>C17*'Project Wide Estimates'!K16</f>
        <v>0</v>
      </c>
      <c r="L17" s="30">
        <f t="shared" si="0"/>
        <v>0</v>
      </c>
      <c r="M17" s="29">
        <f t="shared" si="1"/>
        <v>0</v>
      </c>
    </row>
    <row r="18" spans="2:13" ht="15.75">
      <c r="B18" s="32" t="s">
        <v>47</v>
      </c>
      <c r="C18" s="183">
        <f>COUNTIF('Individual Parcel Estimate'!C9:C57, "MI")</f>
        <v>0</v>
      </c>
      <c r="D18" s="31">
        <f>C18*'Project Wide Estimates'!D17</f>
        <v>0</v>
      </c>
      <c r="E18" s="31">
        <f>C18*'Project Wide Estimates'!E17</f>
        <v>0</v>
      </c>
      <c r="F18" s="31">
        <f>C18*'Project Wide Estimates'!F17</f>
        <v>0</v>
      </c>
      <c r="G18" s="31">
        <f>C18*'Project Wide Estimates'!G17</f>
        <v>0</v>
      </c>
      <c r="H18" s="31">
        <f>C18*'Project Wide Estimates'!H17</f>
        <v>0</v>
      </c>
      <c r="I18" s="31">
        <f>C18*'Project Wide Estimates'!I17</f>
        <v>0</v>
      </c>
      <c r="J18" s="237">
        <f>C18*'Project Wide Estimates'!J17</f>
        <v>0</v>
      </c>
      <c r="K18" s="31">
        <f>C18*'Project Wide Estimates'!K17</f>
        <v>0</v>
      </c>
      <c r="L18" s="30">
        <f t="shared" si="0"/>
        <v>0</v>
      </c>
      <c r="M18" s="29">
        <f t="shared" si="1"/>
        <v>0</v>
      </c>
    </row>
    <row r="19" spans="2:13" ht="15.75">
      <c r="B19" s="32" t="s">
        <v>49</v>
      </c>
      <c r="C19" s="183">
        <f>COUNTIF('Individual Parcel Estimate'!C9:C57, "C")</f>
        <v>0</v>
      </c>
      <c r="D19" s="31">
        <f>C19*'Project Wide Estimates'!D18</f>
        <v>0</v>
      </c>
      <c r="E19" s="31">
        <f>C19*'Project Wide Estimates'!E18</f>
        <v>0</v>
      </c>
      <c r="F19" s="31">
        <f>C19*'Project Wide Estimates'!F18</f>
        <v>0</v>
      </c>
      <c r="G19" s="31">
        <f>C19*'Project Wide Estimates'!G18</f>
        <v>0</v>
      </c>
      <c r="H19" s="31">
        <f>C19*'Project Wide Estimates'!H18</f>
        <v>0</v>
      </c>
      <c r="I19" s="31">
        <f>C19*'Project Wide Estimates'!I18</f>
        <v>0</v>
      </c>
      <c r="J19" s="237">
        <f>C19*'Project Wide Estimates'!J18</f>
        <v>0</v>
      </c>
      <c r="K19" s="31">
        <f>C19*'Project Wide Estimates'!K18</f>
        <v>0</v>
      </c>
      <c r="L19" s="30">
        <f t="shared" si="0"/>
        <v>0</v>
      </c>
      <c r="M19" s="29">
        <f t="shared" si="1"/>
        <v>0</v>
      </c>
    </row>
    <row r="20" spans="2:13" ht="16.5" thickBot="1">
      <c r="B20" s="32" t="s">
        <v>51</v>
      </c>
      <c r="C20" s="183">
        <f>COUNTIF('Individual Parcel Estimate'!C9:C57, "CI")</f>
        <v>0</v>
      </c>
      <c r="D20" s="31">
        <f>C20*'Project Wide Estimates'!D19</f>
        <v>0</v>
      </c>
      <c r="E20" s="31">
        <f>C20*'Project Wide Estimates'!E19</f>
        <v>0</v>
      </c>
      <c r="F20" s="31">
        <f>C20*'Project Wide Estimates'!F19</f>
        <v>0</v>
      </c>
      <c r="G20" s="31">
        <f>C20*'Project Wide Estimates'!G19</f>
        <v>0</v>
      </c>
      <c r="H20" s="31">
        <f>C20*'Project Wide Estimates'!H19</f>
        <v>0</v>
      </c>
      <c r="I20" s="31">
        <f>C20*'Project Wide Estimates'!I19</f>
        <v>0</v>
      </c>
      <c r="J20" s="237">
        <f>C20*'Project Wide Estimates'!J19</f>
        <v>0</v>
      </c>
      <c r="K20" s="31">
        <f>C20*'Project Wide Estimates'!K19</f>
        <v>0</v>
      </c>
      <c r="L20" s="30">
        <f t="shared" si="0"/>
        <v>0</v>
      </c>
      <c r="M20" s="29">
        <f t="shared" si="1"/>
        <v>0</v>
      </c>
    </row>
    <row r="21" spans="2:13" ht="16.5" thickBot="1">
      <c r="B21" s="25" t="s">
        <v>53</v>
      </c>
      <c r="C21" s="89">
        <f>SUM(C13:C20)</f>
        <v>0</v>
      </c>
      <c r="D21" s="28">
        <f>SUM(D13:D20)</f>
        <v>0</v>
      </c>
      <c r="E21" s="28">
        <f t="shared" ref="E21:M21" si="2">SUM(E13:E20)</f>
        <v>0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</row>
    <row r="22" spans="2:13" ht="15.75" thickTop="1">
      <c r="B22" s="70"/>
      <c r="C22" s="61"/>
      <c r="D22" s="61"/>
      <c r="E22" s="61"/>
      <c r="F22" s="61"/>
      <c r="G22" s="61"/>
      <c r="H22" s="61"/>
      <c r="I22" s="61"/>
      <c r="J22" s="27">
        <f>IF(J21&gt;11,J21+8,J21)</f>
        <v>0</v>
      </c>
      <c r="K22" s="71" t="s">
        <v>56</v>
      </c>
      <c r="L22" s="26">
        <f>L21-J21+J22</f>
        <v>0</v>
      </c>
      <c r="M22" s="48"/>
    </row>
    <row r="23" spans="2:13" ht="16.5" thickBot="1">
      <c r="B23" s="25" t="s">
        <v>58</v>
      </c>
      <c r="C23" s="183">
        <f>COUNTIF('Individual Parcel Estimate'!AI9:AI57, "&gt;0")</f>
        <v>0</v>
      </c>
      <c r="D23" s="24" t="s">
        <v>10</v>
      </c>
      <c r="E23" s="23" t="s">
        <v>10</v>
      </c>
      <c r="F23" s="23" t="s">
        <v>10</v>
      </c>
      <c r="G23" s="23"/>
      <c r="H23" s="23" t="s">
        <v>10</v>
      </c>
      <c r="I23" s="73"/>
      <c r="J23" s="22">
        <f>C23</f>
        <v>0</v>
      </c>
      <c r="K23" s="21" t="s">
        <v>10</v>
      </c>
      <c r="L23" s="74">
        <f>L22+J23</f>
        <v>0</v>
      </c>
      <c r="M23" s="66"/>
    </row>
    <row r="24" spans="2:13" ht="19.5" thickTop="1" thickBot="1">
      <c r="B24" s="70"/>
      <c r="C24" s="9"/>
      <c r="D24" s="75" t="s">
        <v>10</v>
      </c>
      <c r="E24" s="9" t="s">
        <v>10</v>
      </c>
      <c r="F24" s="1" t="s">
        <v>10</v>
      </c>
      <c r="G24" s="1"/>
      <c r="H24" s="75"/>
      <c r="I24" s="20" t="s">
        <v>10</v>
      </c>
      <c r="J24" s="19">
        <f>SUM(J22+J23)</f>
        <v>0</v>
      </c>
      <c r="K24" s="61"/>
      <c r="L24" s="76"/>
      <c r="M24" s="77"/>
    </row>
    <row r="25" spans="2:13" ht="18.75" thickBot="1">
      <c r="B25" s="18" t="s">
        <v>61</v>
      </c>
      <c r="C25" s="90">
        <f>C21+C23</f>
        <v>0</v>
      </c>
      <c r="D25" s="17" t="s">
        <v>10</v>
      </c>
      <c r="E25" s="1" t="s">
        <v>10</v>
      </c>
      <c r="F25" s="61"/>
      <c r="G25" s="61"/>
      <c r="H25" s="61"/>
      <c r="I25" s="61"/>
      <c r="J25" s="61"/>
      <c r="K25" s="16"/>
      <c r="L25" s="76"/>
      <c r="M25" s="77"/>
    </row>
    <row r="26" spans="2:13" ht="15">
      <c r="B26" s="13"/>
      <c r="C26" s="61"/>
      <c r="D26" s="61"/>
      <c r="E26" s="61"/>
      <c r="F26" s="61"/>
      <c r="G26" s="61"/>
      <c r="H26" s="61"/>
      <c r="I26" s="61"/>
      <c r="J26" s="61"/>
      <c r="K26" s="61"/>
      <c r="L26" s="76"/>
      <c r="M26" s="77"/>
    </row>
    <row r="27" spans="2:13" ht="21" thickBot="1">
      <c r="B27" s="70"/>
      <c r="C27" s="61"/>
      <c r="D27" s="1" t="s">
        <v>10</v>
      </c>
      <c r="E27" s="75"/>
      <c r="F27" s="61"/>
      <c r="G27" s="61"/>
      <c r="H27" s="78"/>
      <c r="I27" s="78" t="s">
        <v>63</v>
      </c>
      <c r="J27" s="79" t="s">
        <v>64</v>
      </c>
      <c r="K27" s="78"/>
      <c r="L27" s="11">
        <f>L23</f>
        <v>0</v>
      </c>
      <c r="M27" s="49"/>
    </row>
    <row r="28" spans="2:13" ht="15">
      <c r="B28" s="13" t="s">
        <v>65</v>
      </c>
      <c r="C28" s="75"/>
      <c r="D28" s="75"/>
      <c r="E28" s="75"/>
      <c r="F28" s="75"/>
      <c r="G28" s="75"/>
      <c r="H28" s="75"/>
      <c r="I28" s="1" t="s">
        <v>10</v>
      </c>
      <c r="J28" s="75"/>
      <c r="K28" s="75"/>
      <c r="L28" s="80" t="s">
        <v>10</v>
      </c>
      <c r="M28" s="81"/>
    </row>
    <row r="29" spans="2:13" ht="21" thickBot="1">
      <c r="B29" s="13" t="s">
        <v>66</v>
      </c>
      <c r="C29" s="75"/>
      <c r="D29" s="75"/>
      <c r="E29" s="75"/>
      <c r="F29" s="75"/>
      <c r="G29" s="82"/>
      <c r="H29" s="75"/>
      <c r="I29" s="61"/>
      <c r="J29" s="61"/>
      <c r="K29" s="15" t="s">
        <v>67</v>
      </c>
      <c r="L29" s="14">
        <v>0</v>
      </c>
      <c r="M29" s="227" t="s">
        <v>76</v>
      </c>
    </row>
    <row r="30" spans="2:13" ht="15">
      <c r="B30" s="13" t="s">
        <v>68</v>
      </c>
      <c r="C30" s="75"/>
      <c r="D30" s="75"/>
      <c r="E30" s="75"/>
      <c r="F30" s="75"/>
      <c r="G30" s="75"/>
      <c r="H30" s="75"/>
      <c r="I30" s="75"/>
      <c r="J30" s="75" t="s">
        <v>10</v>
      </c>
      <c r="K30" s="75"/>
      <c r="L30" s="83"/>
      <c r="M30" s="84"/>
    </row>
    <row r="31" spans="2:13" ht="21" thickBot="1">
      <c r="B31" s="13" t="s">
        <v>10</v>
      </c>
      <c r="C31" s="75"/>
      <c r="D31" s="75"/>
      <c r="E31" s="12"/>
      <c r="F31" s="1" t="s">
        <v>10</v>
      </c>
      <c r="G31" s="1"/>
      <c r="H31" s="85"/>
      <c r="I31" s="85" t="s">
        <v>69</v>
      </c>
      <c r="J31" s="85"/>
      <c r="K31" s="85"/>
      <c r="L31" s="11">
        <f>SUM(L27+L29)</f>
        <v>0</v>
      </c>
      <c r="M31" s="49"/>
    </row>
    <row r="32" spans="2:13" ht="18">
      <c r="B32" s="86"/>
      <c r="C32" s="10">
        <f>L31</f>
        <v>0</v>
      </c>
      <c r="D32" s="9" t="s">
        <v>70</v>
      </c>
      <c r="E32" s="209">
        <v>338.56</v>
      </c>
      <c r="F32" s="8" t="s">
        <v>71</v>
      </c>
      <c r="G32" s="7">
        <f>C32*E32</f>
        <v>0</v>
      </c>
      <c r="H32" s="6" t="s">
        <v>10</v>
      </c>
      <c r="I32" s="75"/>
      <c r="J32" s="75"/>
      <c r="K32" s="75"/>
      <c r="L32" s="5" t="s">
        <v>10</v>
      </c>
      <c r="M32" s="1"/>
    </row>
    <row r="33" spans="2:13" ht="15.75" thickBot="1">
      <c r="B33" s="86"/>
      <c r="C33" s="75"/>
      <c r="D33" s="75"/>
      <c r="E33" s="75"/>
      <c r="F33" s="75"/>
      <c r="G33" s="75"/>
      <c r="H33" s="75"/>
      <c r="I33" s="61"/>
      <c r="J33" s="75"/>
      <c r="K33" s="75"/>
      <c r="L33" s="76"/>
      <c r="M33" s="75"/>
    </row>
    <row r="34" spans="2:13" ht="24" thickBot="1">
      <c r="B34" s="86"/>
      <c r="C34" s="75"/>
      <c r="D34" s="50" t="s">
        <v>72</v>
      </c>
      <c r="E34" s="51">
        <f>ROUND(G32, -2)</f>
        <v>0</v>
      </c>
      <c r="F34" s="52"/>
      <c r="G34" s="75"/>
      <c r="H34" s="75"/>
      <c r="I34" s="75"/>
      <c r="J34" s="75"/>
      <c r="K34" s="75"/>
      <c r="L34" s="5" t="s">
        <v>10</v>
      </c>
      <c r="M34" s="1"/>
    </row>
    <row r="35" spans="2:13" ht="21" thickBot="1">
      <c r="B35" s="87"/>
      <c r="C35" s="88"/>
      <c r="D35" s="4"/>
      <c r="E35" s="3"/>
      <c r="F35" s="88"/>
      <c r="G35" s="88"/>
      <c r="H35" s="88"/>
      <c r="I35" s="88"/>
      <c r="J35" s="88"/>
      <c r="K35" s="88"/>
      <c r="L35" s="2" t="s">
        <v>10</v>
      </c>
      <c r="M35" s="1"/>
    </row>
  </sheetData>
  <sheetProtection selectLockedCells="1"/>
  <mergeCells count="3">
    <mergeCell ref="H1:J1"/>
    <mergeCell ref="A1:B1"/>
    <mergeCell ref="E1:G1"/>
  </mergeCells>
  <pageMargins left="0.7" right="0.7" top="0.75" bottom="0.75" header="0.3" footer="0.3"/>
  <pageSetup paperSize="17" scale="73" orientation="landscape" r:id="rId1"/>
  <headerFooter>
    <oddFooter>Page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7"/>
  <sheetViews>
    <sheetView zoomScale="80" zoomScaleNormal="80" workbookViewId="0">
      <selection activeCell="C14" sqref="C14"/>
    </sheetView>
  </sheetViews>
  <sheetFormatPr defaultColWidth="0" defaultRowHeight="12.75" zeroHeight="1"/>
  <cols>
    <col min="1" max="1" width="32.5703125" style="53" customWidth="1"/>
    <col min="2" max="3" width="25.140625" style="53" customWidth="1"/>
    <col min="4" max="4" width="16.140625" style="53" customWidth="1"/>
    <col min="5" max="5" width="18" style="53" bestFit="1" customWidth="1"/>
    <col min="6" max="6" width="23.5703125" style="53" bestFit="1" customWidth="1"/>
    <col min="7" max="7" width="15.85546875" style="53" bestFit="1" customWidth="1"/>
    <col min="8" max="8" width="15.5703125" style="53" bestFit="1" customWidth="1"/>
    <col min="9" max="9" width="12.85546875" style="53" customWidth="1"/>
    <col min="10" max="10" width="17.42578125" style="53" bestFit="1" customWidth="1"/>
    <col min="11" max="11" width="19.140625" style="53" bestFit="1" customWidth="1"/>
    <col min="12" max="12" width="16.85546875" style="53" customWidth="1"/>
    <col min="13" max="13" width="9.140625" style="53" customWidth="1"/>
    <col min="14" max="16384" width="9.140625" style="53" hidden="1"/>
  </cols>
  <sheetData>
    <row r="1" spans="1:11" ht="15.75">
      <c r="A1" s="46" t="s">
        <v>3</v>
      </c>
      <c r="B1" s="242" t="str">
        <f>'Project Wide Estimates'!C3</f>
        <v>123-45-6789</v>
      </c>
      <c r="D1" s="239" t="s">
        <v>6</v>
      </c>
      <c r="E1" s="243">
        <f>'Project Wide Estimates'!J4</f>
        <v>44013</v>
      </c>
    </row>
    <row r="2" spans="1:11" ht="15.75">
      <c r="A2" s="46" t="s">
        <v>5</v>
      </c>
      <c r="B2" s="242" t="str">
        <f>'Project Wide Estimates'!C4</f>
        <v>Smith Street to County Line</v>
      </c>
      <c r="D2" s="239"/>
    </row>
    <row r="3" spans="1:11" ht="15.75">
      <c r="A3" s="46" t="s">
        <v>7</v>
      </c>
      <c r="B3" s="242" t="str">
        <f>'Project Wide Estimates'!C5</f>
        <v>STH 123</v>
      </c>
      <c r="D3" s="240" t="s">
        <v>74</v>
      </c>
      <c r="E3" s="243" t="str">
        <f>'Project Wide Estimates'!J6</f>
        <v>JPA</v>
      </c>
    </row>
    <row r="4" spans="1:11" ht="15.75">
      <c r="A4" s="46" t="s">
        <v>8</v>
      </c>
      <c r="B4" s="242" t="str">
        <f>'Project Wide Estimates'!C6</f>
        <v>Acme</v>
      </c>
    </row>
    <row r="5" spans="1:11"/>
    <row r="6" spans="1:11" ht="18">
      <c r="A6" s="133" t="s">
        <v>78</v>
      </c>
      <c r="B6" s="134"/>
      <c r="C6" s="134"/>
      <c r="D6" s="134"/>
      <c r="E6" s="134"/>
      <c r="F6" s="134"/>
      <c r="G6" s="134"/>
      <c r="H6" s="113"/>
      <c r="I6" s="229" t="s">
        <v>140</v>
      </c>
      <c r="J6" s="113"/>
    </row>
    <row r="7" spans="1:11">
      <c r="A7" s="113"/>
      <c r="B7" s="134"/>
      <c r="C7" s="134"/>
      <c r="D7" s="134"/>
      <c r="E7" s="134"/>
      <c r="F7" s="134"/>
      <c r="G7" s="134"/>
      <c r="H7" s="113"/>
      <c r="I7" s="113"/>
      <c r="J7" s="113"/>
    </row>
    <row r="8" spans="1:11">
      <c r="A8" s="113"/>
      <c r="B8" s="199" t="s">
        <v>80</v>
      </c>
      <c r="C8" s="199" t="s">
        <v>81</v>
      </c>
      <c r="D8" s="199" t="s">
        <v>82</v>
      </c>
      <c r="E8" s="199" t="s">
        <v>83</v>
      </c>
      <c r="F8" s="199" t="s">
        <v>141</v>
      </c>
      <c r="G8" s="199" t="s">
        <v>142</v>
      </c>
      <c r="H8" s="199" t="s">
        <v>143</v>
      </c>
      <c r="I8" s="84"/>
      <c r="J8" s="135"/>
      <c r="K8" s="136"/>
    </row>
    <row r="9" spans="1:11">
      <c r="A9" s="247" t="s">
        <v>144</v>
      </c>
      <c r="B9" s="246">
        <f>SUMIF('Individual Parcel Estimate'!F9:F57,"&lt;&gt;Consultant",'Individual Parcel Estimate'!G9:G57)</f>
        <v>0</v>
      </c>
      <c r="C9" s="246">
        <f>SUMIF('Individual Parcel Estimate'!H9:H57,"&lt;&gt;Consultant",'Individual Parcel Estimate'!I9:I57)</f>
        <v>0</v>
      </c>
      <c r="D9" s="246">
        <f>SUMIF('Individual Parcel Estimate'!J9:J57,"&lt;&gt;Consultant",'Individual Parcel Estimate'!K9:K57)</f>
        <v>0</v>
      </c>
      <c r="E9" s="246">
        <f>SUMIF('Individual Parcel Estimate'!L9:L57,"&lt;&gt;Consultant",'Individual Parcel Estimate'!M9:M57)</f>
        <v>0</v>
      </c>
      <c r="F9" s="137">
        <f>'Individual Parcel Estimate'!P58</f>
        <v>0</v>
      </c>
      <c r="G9" s="138"/>
      <c r="I9" s="84"/>
      <c r="J9" s="135"/>
      <c r="K9" s="136"/>
    </row>
    <row r="10" spans="1:11">
      <c r="A10" s="247" t="s">
        <v>145</v>
      </c>
      <c r="B10" s="246">
        <f>SUMIF('Individual Parcel Estimate'!F9:F57,"Consultant",'Individual Parcel Estimate'!G9:G57)</f>
        <v>0</v>
      </c>
      <c r="C10" s="246">
        <f>SUMIF('Individual Parcel Estimate'!H9:H57,"Consultant",'Individual Parcel Estimate'!I9:I57)</f>
        <v>0</v>
      </c>
      <c r="D10" s="246">
        <f>SUMIF('Individual Parcel Estimate'!J9:J57,"Consultant",'Individual Parcel Estimate'!K9:K57)</f>
        <v>0</v>
      </c>
      <c r="E10" s="246">
        <f>SUMIF('Individual Parcel Estimate'!L9:L57,"Consultant",'Individual Parcel Estimate'!M9:M57)</f>
        <v>0</v>
      </c>
      <c r="F10" s="245"/>
      <c r="G10" s="138">
        <f>'Individual Parcel Estimate'!N58</f>
        <v>0</v>
      </c>
      <c r="H10" s="138">
        <f>'Individual Parcel Estimate'!O58</f>
        <v>0</v>
      </c>
      <c r="I10" s="84"/>
      <c r="J10" s="135"/>
      <c r="K10" s="136"/>
    </row>
    <row r="11" spans="1:11">
      <c r="A11" s="248" t="s">
        <v>146</v>
      </c>
      <c r="B11" s="137">
        <f>'Individual Parcel Estimate'!G58</f>
        <v>0</v>
      </c>
      <c r="C11" s="137">
        <f>'Individual Parcel Estimate'!I58</f>
        <v>0</v>
      </c>
      <c r="D11" s="137">
        <f>'Individual Parcel Estimate'!K58</f>
        <v>0</v>
      </c>
      <c r="E11" s="137">
        <f>'Individual Parcel Estimate'!M58</f>
        <v>0</v>
      </c>
      <c r="F11" s="137">
        <f>'Individual Parcel Estimate'!P58</f>
        <v>0</v>
      </c>
      <c r="G11" s="138">
        <f>'Individual Parcel Estimate'!N58</f>
        <v>0</v>
      </c>
      <c r="H11" s="138">
        <f>'Individual Parcel Estimate'!O58</f>
        <v>0</v>
      </c>
      <c r="I11" s="113"/>
      <c r="J11" s="113"/>
    </row>
    <row r="12" spans="1:11">
      <c r="A12" s="113"/>
      <c r="B12" s="137"/>
      <c r="C12" s="137"/>
      <c r="D12" s="137"/>
      <c r="E12" s="137"/>
      <c r="F12" s="137"/>
      <c r="G12" s="138"/>
      <c r="I12" s="113"/>
      <c r="J12" s="113"/>
    </row>
    <row r="13" spans="1:11"/>
    <row r="14" spans="1:11">
      <c r="A14" s="247" t="s">
        <v>147</v>
      </c>
      <c r="B14" s="249">
        <f>B9+C9+D9+E9+F9</f>
        <v>0</v>
      </c>
    </row>
    <row r="15" spans="1:11">
      <c r="A15" s="247" t="s">
        <v>148</v>
      </c>
      <c r="B15" s="134">
        <f>B10+C10+D10+E10+G10+H10</f>
        <v>0</v>
      </c>
      <c r="C15" s="134"/>
      <c r="D15" s="134"/>
      <c r="E15" s="134"/>
      <c r="F15" s="134"/>
      <c r="G15" s="134"/>
      <c r="H15" s="139"/>
      <c r="I15" s="113"/>
      <c r="J15" s="113"/>
    </row>
    <row r="16" spans="1:11" ht="15.75">
      <c r="A16" s="140" t="s">
        <v>149</v>
      </c>
      <c r="B16" s="141">
        <f>SUM(B11:H11)</f>
        <v>0</v>
      </c>
      <c r="C16" s="214"/>
      <c r="D16" s="134"/>
      <c r="E16" s="134"/>
      <c r="F16" s="134"/>
      <c r="G16" s="134"/>
      <c r="H16" s="113"/>
      <c r="I16" s="113"/>
      <c r="J16" s="113"/>
    </row>
    <row r="17" spans="1:11">
      <c r="A17" s="113"/>
      <c r="B17" s="134"/>
      <c r="C17" s="134"/>
      <c r="D17" s="134"/>
      <c r="E17" s="134"/>
      <c r="F17" s="134"/>
      <c r="G17" s="134"/>
      <c r="H17" s="113"/>
      <c r="I17" s="113"/>
      <c r="J17" s="113"/>
    </row>
    <row r="18" spans="1:11" ht="18">
      <c r="A18" s="142" t="s">
        <v>150</v>
      </c>
      <c r="B18" s="143" t="s">
        <v>151</v>
      </c>
      <c r="C18" s="143" t="s">
        <v>152</v>
      </c>
      <c r="D18" s="143" t="s">
        <v>153</v>
      </c>
      <c r="E18" s="144"/>
      <c r="F18" s="144"/>
      <c r="G18" s="144"/>
      <c r="H18" s="144"/>
      <c r="I18" s="145" t="s">
        <v>154</v>
      </c>
      <c r="J18" s="146" t="s">
        <v>155</v>
      </c>
    </row>
    <row r="19" spans="1:11">
      <c r="A19" s="147"/>
      <c r="B19" s="143" t="s">
        <v>156</v>
      </c>
      <c r="C19" s="143"/>
      <c r="D19" s="143" t="s">
        <v>156</v>
      </c>
      <c r="E19" s="143" t="s">
        <v>82</v>
      </c>
      <c r="F19" s="145" t="s">
        <v>157</v>
      </c>
      <c r="G19" s="145" t="s">
        <v>158</v>
      </c>
      <c r="H19" s="145" t="s">
        <v>159</v>
      </c>
      <c r="I19" s="145" t="s">
        <v>160</v>
      </c>
      <c r="J19" s="145" t="s">
        <v>161</v>
      </c>
    </row>
    <row r="20" spans="1:11">
      <c r="A20" s="147"/>
      <c r="B20" s="148">
        <f>'Individual Parcel Estimate'!Z58</f>
        <v>0</v>
      </c>
      <c r="C20" s="148">
        <f>'Individual Parcel Estimate'!AB58</f>
        <v>0</v>
      </c>
      <c r="D20" s="148">
        <f>'Individual Parcel Estimate'!AC58</f>
        <v>0</v>
      </c>
      <c r="E20" s="148">
        <f>'Individual Parcel Estimate'!AF58</f>
        <v>0</v>
      </c>
      <c r="F20" s="148">
        <f>'Individual Parcel Estimate'!AG58</f>
        <v>0</v>
      </c>
      <c r="G20" s="149">
        <f>'Individual Parcel Estimate'!AI58</f>
        <v>0</v>
      </c>
      <c r="H20" s="149">
        <f>'Individual Parcel Estimate'!AJ58</f>
        <v>0</v>
      </c>
      <c r="I20" s="150">
        <f>'Individual Parcel Estimate'!AH58</f>
        <v>0</v>
      </c>
      <c r="J20" s="151">
        <f>'Individual Parcel Estimate'!AK58</f>
        <v>0</v>
      </c>
    </row>
    <row r="21" spans="1:11">
      <c r="A21" s="147"/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ht="15.75" customHeight="1">
      <c r="A22" s="113" t="s">
        <v>162</v>
      </c>
      <c r="B22" s="134"/>
      <c r="C22" s="134"/>
      <c r="D22" s="134"/>
      <c r="E22" s="134"/>
      <c r="F22" s="134"/>
      <c r="G22" s="134"/>
      <c r="H22" s="113"/>
      <c r="I22" s="113"/>
      <c r="J22" s="113"/>
      <c r="K22" s="113"/>
    </row>
    <row r="23" spans="1:11">
      <c r="A23" s="113"/>
      <c r="B23" s="134"/>
      <c r="C23" s="134"/>
      <c r="D23" s="134"/>
      <c r="E23" s="134"/>
      <c r="F23" s="134"/>
      <c r="G23" s="134"/>
      <c r="H23" s="113"/>
      <c r="I23" s="113"/>
      <c r="J23" s="113"/>
    </row>
    <row r="24" spans="1:11" ht="15.75">
      <c r="A24" s="152" t="s">
        <v>163</v>
      </c>
      <c r="B24" s="153">
        <f>SUM(B20:J20)</f>
        <v>0</v>
      </c>
      <c r="C24" s="155"/>
      <c r="D24" s="134"/>
      <c r="E24" s="134"/>
      <c r="F24" s="134"/>
      <c r="G24" s="134"/>
      <c r="H24" s="113"/>
      <c r="I24" s="113"/>
      <c r="J24" s="113"/>
    </row>
    <row r="25" spans="1:11" ht="15.75">
      <c r="A25" s="154"/>
      <c r="B25" s="155"/>
      <c r="C25" s="155"/>
      <c r="D25" s="134"/>
      <c r="E25" s="134"/>
      <c r="F25" s="134"/>
      <c r="G25" s="134"/>
      <c r="H25" s="113"/>
      <c r="I25" s="113"/>
      <c r="J25" s="113"/>
    </row>
    <row r="26" spans="1:11" ht="23.25">
      <c r="A26" s="156" t="s">
        <v>164</v>
      </c>
      <c r="B26" s="157">
        <f>SUM(B16,B24)</f>
        <v>0</v>
      </c>
      <c r="C26" s="157"/>
      <c r="D26" s="134"/>
      <c r="F26" s="134"/>
      <c r="G26" s="134"/>
      <c r="H26" s="113"/>
      <c r="I26" s="113"/>
      <c r="J26" s="113"/>
    </row>
    <row r="27" spans="1:11" ht="18">
      <c r="A27" s="158"/>
      <c r="B27" s="134"/>
      <c r="C27" s="134"/>
      <c r="D27" s="134"/>
      <c r="E27" s="159"/>
      <c r="F27" s="134"/>
      <c r="G27" s="134"/>
      <c r="H27" s="113"/>
      <c r="I27" s="113"/>
      <c r="J27" s="113"/>
    </row>
    <row r="28" spans="1:11" ht="18">
      <c r="A28" s="158"/>
      <c r="B28" s="134"/>
      <c r="C28" s="134"/>
      <c r="D28" s="134"/>
      <c r="E28" s="159"/>
      <c r="F28" s="134"/>
      <c r="G28" s="134"/>
      <c r="H28" s="113"/>
      <c r="I28" s="113"/>
      <c r="J28" s="113"/>
    </row>
    <row r="29" spans="1:11" ht="18">
      <c r="A29" s="158"/>
      <c r="B29" s="134"/>
      <c r="C29" s="134"/>
      <c r="D29" s="134"/>
      <c r="E29" s="159"/>
      <c r="F29" s="134"/>
      <c r="G29" s="134"/>
      <c r="H29" s="113"/>
      <c r="I29" s="113"/>
      <c r="J29" s="113"/>
    </row>
    <row r="30" spans="1:11" s="164" customFormat="1" ht="18">
      <c r="A30" s="160"/>
      <c r="B30" s="161"/>
      <c r="C30" s="161"/>
      <c r="D30" s="161"/>
      <c r="E30" s="162"/>
      <c r="F30" s="161"/>
      <c r="G30" s="161"/>
      <c r="H30" s="163"/>
      <c r="I30" s="163"/>
      <c r="J30" s="163"/>
    </row>
    <row r="31" spans="1:11" ht="18">
      <c r="A31" s="158"/>
      <c r="B31" s="134"/>
      <c r="C31" s="134"/>
      <c r="D31" s="134"/>
      <c r="E31" s="159"/>
      <c r="F31" s="134"/>
      <c r="G31" s="134"/>
      <c r="H31" s="113"/>
      <c r="I31" s="113"/>
      <c r="J31" s="113"/>
    </row>
    <row r="32" spans="1:11">
      <c r="A32" s="113"/>
      <c r="B32" s="134"/>
      <c r="C32" s="134"/>
      <c r="D32" s="134"/>
      <c r="E32" s="134"/>
      <c r="F32" s="134"/>
      <c r="G32" s="134"/>
      <c r="H32" s="113"/>
      <c r="I32" s="113"/>
      <c r="J32" s="113"/>
    </row>
    <row r="33" spans="1:10" ht="15.75">
      <c r="A33" s="165" t="s">
        <v>165</v>
      </c>
      <c r="B33" s="134"/>
      <c r="C33" s="134"/>
      <c r="D33" s="134"/>
      <c r="E33" s="134"/>
      <c r="F33" s="134"/>
      <c r="G33" s="134"/>
      <c r="H33" s="113"/>
      <c r="I33" s="113"/>
      <c r="J33" s="113"/>
    </row>
    <row r="34" spans="1:10">
      <c r="A34" s="166" t="s">
        <v>166</v>
      </c>
      <c r="B34" s="171"/>
      <c r="C34" s="171"/>
      <c r="D34" s="134"/>
      <c r="E34" s="134"/>
      <c r="F34" s="134"/>
      <c r="G34" s="134"/>
      <c r="H34" s="113"/>
      <c r="I34" s="113"/>
      <c r="J34" s="113"/>
    </row>
    <row r="35" spans="1:10">
      <c r="A35" s="166" t="s">
        <v>167</v>
      </c>
      <c r="B35" s="210">
        <f>'Individual Parcel Estimate'!AM58</f>
        <v>0</v>
      </c>
      <c r="C35" s="138"/>
      <c r="E35" s="134"/>
      <c r="F35" s="134"/>
      <c r="G35" s="134"/>
      <c r="H35" s="113"/>
      <c r="I35" s="113"/>
      <c r="J35" s="113"/>
    </row>
    <row r="36" spans="1:10">
      <c r="A36" s="166" t="s">
        <v>168</v>
      </c>
      <c r="B36" s="211">
        <f>'Individual Parcel Estimate'!AQ58</f>
        <v>0</v>
      </c>
      <c r="C36" s="138"/>
      <c r="E36" s="148"/>
      <c r="F36" s="134"/>
      <c r="G36" s="134"/>
      <c r="H36" s="113"/>
      <c r="I36" s="113"/>
      <c r="J36" s="113"/>
    </row>
    <row r="37" spans="1:10" ht="16.5" thickBot="1">
      <c r="A37" s="212" t="s">
        <v>146</v>
      </c>
      <c r="B37" s="213">
        <f>SUM(B34:B36)</f>
        <v>0</v>
      </c>
      <c r="C37" s="138"/>
      <c r="E37" s="168"/>
      <c r="F37" s="134"/>
      <c r="G37" s="134"/>
      <c r="H37" s="113"/>
      <c r="I37" s="113"/>
      <c r="J37" s="113"/>
    </row>
    <row r="38" spans="1:10">
      <c r="D38" s="134"/>
      <c r="F38" s="134"/>
      <c r="G38" s="134"/>
      <c r="H38" s="113"/>
      <c r="I38" s="113"/>
      <c r="J38" s="113"/>
    </row>
    <row r="39" spans="1:10">
      <c r="D39" s="134"/>
      <c r="F39" s="134"/>
      <c r="G39" s="134"/>
      <c r="H39" s="113"/>
      <c r="I39" s="113"/>
      <c r="J39" s="113"/>
    </row>
    <row r="40" spans="1:10">
      <c r="D40" s="134"/>
      <c r="F40" s="134"/>
      <c r="G40" s="134"/>
      <c r="H40" s="113"/>
      <c r="I40" s="113"/>
      <c r="J40" s="113"/>
    </row>
    <row r="41" spans="1:10" ht="18">
      <c r="A41" s="158" t="s">
        <v>169</v>
      </c>
      <c r="D41" s="134"/>
      <c r="F41" s="134"/>
      <c r="G41" s="134"/>
      <c r="H41" s="113"/>
      <c r="I41" s="113"/>
      <c r="J41" s="113"/>
    </row>
    <row r="42" spans="1:10">
      <c r="D42" s="134"/>
      <c r="F42" s="134"/>
      <c r="G42" s="134"/>
      <c r="H42" s="113"/>
      <c r="I42" s="113"/>
      <c r="J42" s="113"/>
    </row>
    <row r="43" spans="1:10">
      <c r="D43" s="134"/>
      <c r="E43" s="169"/>
      <c r="F43" s="134"/>
      <c r="G43" s="134"/>
      <c r="H43" s="113"/>
      <c r="I43" s="113"/>
      <c r="J43" s="113"/>
    </row>
    <row r="44" spans="1:10">
      <c r="D44" s="134"/>
      <c r="E44" s="169"/>
      <c r="F44" s="134"/>
      <c r="G44" s="134"/>
      <c r="H44" s="113"/>
      <c r="I44" s="113"/>
      <c r="J44" s="113"/>
    </row>
    <row r="45" spans="1:10" hidden="1">
      <c r="D45" s="134"/>
      <c r="E45" s="169"/>
      <c r="F45" s="134"/>
      <c r="G45" s="134"/>
      <c r="H45" s="113"/>
      <c r="I45" s="113"/>
      <c r="J45" s="113"/>
    </row>
    <row r="46" spans="1:10" hidden="1">
      <c r="D46" s="134"/>
      <c r="E46" s="169"/>
      <c r="F46" s="134"/>
      <c r="G46" s="134"/>
      <c r="H46" s="113"/>
      <c r="I46" s="113"/>
      <c r="J46" s="113"/>
    </row>
    <row r="47" spans="1:10" hidden="1">
      <c r="D47" s="134"/>
      <c r="E47" s="169"/>
      <c r="F47" s="134"/>
      <c r="G47" s="134"/>
      <c r="H47" s="113"/>
      <c r="I47" s="113"/>
      <c r="J47" s="113"/>
    </row>
    <row r="48" spans="1:10" hidden="1">
      <c r="D48" s="134"/>
      <c r="E48" s="169"/>
      <c r="F48" s="134"/>
      <c r="G48" s="134"/>
      <c r="H48" s="113"/>
      <c r="I48" s="113"/>
      <c r="J48" s="113"/>
    </row>
    <row r="49" spans="1:10" hidden="1">
      <c r="D49" s="134"/>
      <c r="E49" s="169"/>
      <c r="F49" s="134"/>
      <c r="G49" s="134"/>
      <c r="H49" s="113"/>
      <c r="I49" s="113"/>
      <c r="J49" s="113"/>
    </row>
    <row r="50" spans="1:10" hidden="1">
      <c r="D50" s="134"/>
      <c r="E50" s="169"/>
      <c r="F50" s="134"/>
      <c r="G50" s="134"/>
      <c r="H50" s="113"/>
      <c r="I50" s="113"/>
      <c r="J50" s="113"/>
    </row>
    <row r="51" spans="1:10" ht="13.5" hidden="1" thickBot="1">
      <c r="D51" s="134"/>
      <c r="E51" s="170"/>
      <c r="F51" s="134"/>
      <c r="G51" s="134"/>
      <c r="H51" s="113"/>
      <c r="I51" s="113"/>
      <c r="J51" s="113"/>
    </row>
    <row r="52" spans="1:10" ht="15.75" hidden="1">
      <c r="A52" s="167"/>
      <c r="D52" s="134"/>
      <c r="E52" s="168"/>
      <c r="F52" s="134"/>
      <c r="G52" s="134"/>
      <c r="H52" s="113"/>
      <c r="I52" s="113"/>
      <c r="J52" s="113"/>
    </row>
    <row r="53" spans="1:10" hidden="1">
      <c r="D53" s="134"/>
      <c r="E53" s="134"/>
      <c r="F53" s="134"/>
      <c r="G53" s="134"/>
      <c r="H53" s="113"/>
      <c r="I53" s="113"/>
      <c r="J53" s="113"/>
    </row>
    <row r="54" spans="1:10" hidden="1">
      <c r="D54" s="134"/>
      <c r="E54" s="134"/>
      <c r="F54" s="134"/>
      <c r="G54" s="134"/>
      <c r="H54" s="113"/>
      <c r="I54" s="113"/>
      <c r="J54" s="113"/>
    </row>
    <row r="55" spans="1:10" hidden="1">
      <c r="B55" s="134"/>
      <c r="C55" s="134"/>
      <c r="D55" s="134"/>
      <c r="F55" s="134"/>
      <c r="G55" s="134"/>
      <c r="H55" s="113"/>
      <c r="I55" s="113"/>
      <c r="J55" s="113"/>
    </row>
    <row r="56" spans="1:10" hidden="1">
      <c r="A56" s="113"/>
      <c r="B56" s="134"/>
      <c r="C56" s="134"/>
      <c r="D56" s="134"/>
      <c r="E56" s="134"/>
      <c r="F56" s="134"/>
      <c r="G56" s="134"/>
      <c r="H56" s="113"/>
      <c r="I56" s="113"/>
      <c r="J56" s="113"/>
    </row>
    <row r="57" spans="1:10" hidden="1">
      <c r="A57" s="113"/>
      <c r="B57" s="134"/>
      <c r="C57" s="134"/>
      <c r="D57" s="134"/>
      <c r="E57" s="134"/>
      <c r="F57" s="134"/>
      <c r="G57" s="134"/>
      <c r="H57" s="113"/>
      <c r="I57" s="113"/>
      <c r="J57" s="113"/>
    </row>
  </sheetData>
  <sheetProtection sheet="1" objects="1" scenarios="1"/>
  <printOptions gridLines="1" gridLinesSet="0"/>
  <pageMargins left="0.5" right="0.5" top="1" bottom="1" header="0.5" footer="0.5"/>
  <pageSetup paperSize="17" scale="94" orientation="landscape" r:id="rId1"/>
  <headerFooter alignWithMargins="0">
    <oddHeader>&amp;C&amp;"Arial,Bold"&amp;24&amp;F Project Estimate</oddHeader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BA121"/>
  <sheetViews>
    <sheetView tabSelected="1" zoomScale="80" zoomScaleNormal="80" workbookViewId="0">
      <pane xSplit="1" ySplit="8" topLeftCell="B44" activePane="bottomRight" state="frozen"/>
      <selection pane="topRight" activeCell="B1" sqref="B1"/>
      <selection pane="bottomLeft" activeCell="A3" sqref="A3"/>
      <selection pane="bottomRight" activeCell="E51" sqref="E51"/>
    </sheetView>
  </sheetViews>
  <sheetFormatPr defaultColWidth="0" defaultRowHeight="12.75" zeroHeight="1"/>
  <cols>
    <col min="1" max="1" width="33.42578125" style="107" bestFit="1" customWidth="1"/>
    <col min="2" max="2" width="18.85546875" style="106" bestFit="1" customWidth="1"/>
    <col min="3" max="4" width="14" style="106" customWidth="1"/>
    <col min="5" max="5" width="15.42578125" style="106" customWidth="1"/>
    <col min="6" max="6" width="17.85546875" style="112" bestFit="1" customWidth="1"/>
    <col min="7" max="7" width="23.85546875" style="106" bestFit="1" customWidth="1"/>
    <col min="8" max="8" width="14.5703125" style="101" bestFit="1" customWidth="1"/>
    <col min="9" max="9" width="15.140625" style="113" bestFit="1" customWidth="1"/>
    <col min="10" max="12" width="11" style="113" bestFit="1" customWidth="1"/>
    <col min="13" max="13" width="9.5703125" style="113" customWidth="1"/>
    <col min="14" max="14" width="13.42578125" style="113" bestFit="1" customWidth="1"/>
    <col min="15" max="15" width="10.42578125" style="135" customWidth="1"/>
    <col min="16" max="16" width="18.5703125" style="113" bestFit="1" customWidth="1"/>
    <col min="17" max="17" width="17.42578125" style="113" bestFit="1" customWidth="1"/>
    <col min="18" max="19" width="19.140625" style="113" bestFit="1" customWidth="1"/>
    <col min="20" max="20" width="19.140625" style="105" bestFit="1" customWidth="1"/>
    <col min="21" max="21" width="9.140625" style="105" customWidth="1"/>
    <col min="22" max="22" width="14.140625" style="105" customWidth="1"/>
    <col min="23" max="23" width="14.5703125" style="105" bestFit="1" customWidth="1"/>
    <col min="24" max="24" width="14.5703125" style="113" bestFit="1" customWidth="1"/>
    <col min="25" max="25" width="11.5703125" style="105" customWidth="1"/>
    <col min="26" max="26" width="9" style="105" customWidth="1"/>
    <col min="27" max="27" width="10.140625" style="105" customWidth="1"/>
    <col min="28" max="29" width="9.140625" style="105" customWidth="1"/>
    <col min="30" max="30" width="10.85546875" style="105" customWidth="1"/>
    <col min="31" max="31" width="12.42578125" style="105" customWidth="1"/>
    <col min="32" max="32" width="9.5703125" style="105" customWidth="1"/>
    <col min="33" max="33" width="10.42578125" style="105" customWidth="1"/>
    <col min="34" max="34" width="11.140625" style="105" customWidth="1"/>
    <col min="35" max="35" width="15.85546875" style="105" bestFit="1" customWidth="1"/>
    <col min="36" max="36" width="22.85546875" style="113" bestFit="1" customWidth="1"/>
    <col min="37" max="37" width="38.42578125" style="181" customWidth="1"/>
    <col min="38" max="39" width="38.42578125" style="178" customWidth="1"/>
    <col min="40" max="42" width="9.140625" style="105" customWidth="1"/>
    <col min="43" max="53" width="0" style="105" hidden="1" customWidth="1"/>
    <col min="54" max="16384" width="9.140625" style="105" hidden="1"/>
  </cols>
  <sheetData>
    <row r="1" spans="1:39" ht="15.6" customHeight="1">
      <c r="A1" s="46" t="s">
        <v>3</v>
      </c>
      <c r="B1" s="244" t="str">
        <f>'Project Wide Estimates'!C3</f>
        <v>123-45-6789</v>
      </c>
      <c r="C1" s="244"/>
      <c r="D1" s="244"/>
      <c r="E1" s="244"/>
      <c r="G1" s="109" t="s">
        <v>170</v>
      </c>
      <c r="H1" s="233"/>
    </row>
    <row r="2" spans="1:39" ht="25.5">
      <c r="A2" s="46" t="s">
        <v>5</v>
      </c>
      <c r="B2" s="244" t="str">
        <f>'Project Wide Estimates'!C4</f>
        <v>Smith Street to County Line</v>
      </c>
      <c r="C2" s="244"/>
      <c r="D2" s="244"/>
      <c r="E2" s="244"/>
      <c r="G2" s="109" t="s">
        <v>171</v>
      </c>
      <c r="H2" s="233"/>
    </row>
    <row r="3" spans="1:39" ht="15.75">
      <c r="A3" s="46" t="s">
        <v>7</v>
      </c>
      <c r="B3" s="244" t="str">
        <f>'Project Wide Estimates'!C5</f>
        <v>STH 123</v>
      </c>
      <c r="C3" s="244"/>
      <c r="D3" s="244"/>
      <c r="E3" s="244"/>
    </row>
    <row r="4" spans="1:39" ht="15.75">
      <c r="A4" s="46" t="s">
        <v>8</v>
      </c>
      <c r="B4" s="244" t="str">
        <f>'Project Wide Estimates'!C6</f>
        <v>Acme</v>
      </c>
      <c r="C4" s="244"/>
      <c r="D4" s="244"/>
      <c r="E4" s="244"/>
    </row>
    <row r="5" spans="1:39"/>
    <row r="6" spans="1:39" s="113" customFormat="1">
      <c r="A6" s="406" t="s">
        <v>172</v>
      </c>
      <c r="B6" s="406"/>
      <c r="C6" s="314"/>
      <c r="D6" s="350"/>
      <c r="E6" s="314"/>
      <c r="F6" s="407" t="s">
        <v>173</v>
      </c>
      <c r="G6" s="407"/>
      <c r="H6" s="313"/>
      <c r="O6" s="135"/>
      <c r="AK6" s="179"/>
      <c r="AL6" s="177"/>
      <c r="AM6" s="177"/>
    </row>
    <row r="7" spans="1:39" s="113" customFormat="1" ht="16.350000000000001" customHeight="1" thickBot="1">
      <c r="A7" s="405" t="s">
        <v>278</v>
      </c>
      <c r="B7" s="405"/>
      <c r="C7" s="315"/>
      <c r="D7" s="349"/>
      <c r="E7" s="315"/>
      <c r="F7" s="408" t="s">
        <v>286</v>
      </c>
      <c r="G7" s="409"/>
      <c r="H7" s="409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Y7" s="411" t="s">
        <v>174</v>
      </c>
      <c r="Z7" s="412"/>
      <c r="AA7" s="412"/>
      <c r="AB7" s="412"/>
      <c r="AC7" s="412"/>
      <c r="AD7" s="412"/>
      <c r="AE7" s="412"/>
      <c r="AF7" s="177"/>
      <c r="AG7" s="177"/>
      <c r="AH7" s="177"/>
    </row>
    <row r="8" spans="1:39" s="92" customFormat="1" ht="51.75" thickBot="1">
      <c r="A8" s="110" t="s">
        <v>175</v>
      </c>
      <c r="B8" s="111" t="s">
        <v>176</v>
      </c>
      <c r="C8" s="111" t="s">
        <v>288</v>
      </c>
      <c r="D8" s="358" t="s">
        <v>352</v>
      </c>
      <c r="E8" s="111" t="s">
        <v>291</v>
      </c>
      <c r="F8" s="111" t="s">
        <v>177</v>
      </c>
      <c r="G8" s="111" t="s">
        <v>178</v>
      </c>
      <c r="H8" s="111" t="s">
        <v>292</v>
      </c>
      <c r="I8" s="111" t="s">
        <v>290</v>
      </c>
      <c r="J8" s="111" t="s">
        <v>179</v>
      </c>
      <c r="K8" s="111" t="s">
        <v>180</v>
      </c>
      <c r="L8" s="111" t="s">
        <v>181</v>
      </c>
      <c r="M8" s="111" t="s">
        <v>182</v>
      </c>
      <c r="N8" s="111" t="s">
        <v>289</v>
      </c>
      <c r="O8" s="111" t="s">
        <v>293</v>
      </c>
      <c r="P8" s="111" t="s">
        <v>295</v>
      </c>
      <c r="Q8" s="111" t="s">
        <v>183</v>
      </c>
      <c r="R8" s="111" t="s">
        <v>294</v>
      </c>
      <c r="S8" s="111" t="s">
        <v>265</v>
      </c>
      <c r="T8" s="111" t="s">
        <v>267</v>
      </c>
      <c r="U8" s="111" t="s">
        <v>287</v>
      </c>
      <c r="V8" s="221" t="s">
        <v>184</v>
      </c>
      <c r="W8" s="111" t="s">
        <v>192</v>
      </c>
      <c r="X8" s="111" t="s">
        <v>296</v>
      </c>
      <c r="Y8" s="111" t="s">
        <v>185</v>
      </c>
      <c r="Z8" s="111" t="s">
        <v>186</v>
      </c>
      <c r="AA8" s="111" t="s">
        <v>187</v>
      </c>
      <c r="AB8" s="111" t="s">
        <v>188</v>
      </c>
      <c r="AC8" s="111" t="s">
        <v>189</v>
      </c>
      <c r="AD8" s="111" t="s">
        <v>190</v>
      </c>
      <c r="AE8" s="111" t="s">
        <v>191</v>
      </c>
      <c r="AF8" s="111" t="s">
        <v>297</v>
      </c>
      <c r="AG8" s="111" t="s">
        <v>264</v>
      </c>
      <c r="AH8" s="111" t="s">
        <v>266</v>
      </c>
      <c r="AI8" s="180" t="s">
        <v>41</v>
      </c>
    </row>
    <row r="9" spans="1:39" ht="15.75" thickTop="1">
      <c r="A9" s="220" t="str">
        <f>'Individual Parcel Estimate'!A9</f>
        <v>Wrightstown parcels</v>
      </c>
      <c r="B9" s="220">
        <f>'Individual Parcel Estimate'!B9</f>
        <v>0</v>
      </c>
      <c r="C9" s="220">
        <f>'Individual Parcel Estimate'!C9</f>
        <v>0</v>
      </c>
      <c r="D9" s="359">
        <f>'Individual Parcel Estimate'!D9</f>
        <v>0</v>
      </c>
      <c r="E9" s="260"/>
      <c r="F9" s="260"/>
      <c r="G9" s="271">
        <f>'Individual Parcel Estimate'!T9</f>
        <v>0</v>
      </c>
      <c r="H9" s="260"/>
      <c r="I9" s="316">
        <f>'Individual Parcel Estimate'!Q9</f>
        <v>0</v>
      </c>
      <c r="J9" s="220">
        <f>'Individual Parcel Estimate'!R9</f>
        <v>0</v>
      </c>
      <c r="K9" s="220">
        <f>'Individual Parcel Estimate'!X9</f>
        <v>0</v>
      </c>
      <c r="L9" s="220">
        <f>'Individual Parcel Estimate'!V9</f>
        <v>0</v>
      </c>
      <c r="M9" s="260"/>
      <c r="N9" s="260"/>
      <c r="O9" s="220" t="str">
        <f>IF('Individual Parcel Estimate'!F9&gt;0,"Y","N")</f>
        <v>N</v>
      </c>
      <c r="P9" s="260"/>
      <c r="Q9" s="260"/>
      <c r="R9" s="220" t="str">
        <f>IF('Individual Parcel Estimate'!$AC9&gt;0,"Y","N")</f>
        <v>N</v>
      </c>
      <c r="S9" s="260"/>
      <c r="T9" s="260"/>
      <c r="U9" s="220" t="str">
        <f>IF('Individual Parcel Estimate'!$AI9&gt;0,"Y","N")</f>
        <v>N</v>
      </c>
      <c r="V9" s="260"/>
      <c r="W9" s="260"/>
      <c r="X9" s="260"/>
      <c r="Y9" s="232"/>
      <c r="Z9" s="232"/>
      <c r="AA9" s="260"/>
      <c r="AB9" s="260"/>
      <c r="AC9" s="260"/>
      <c r="AD9" s="260"/>
      <c r="AE9" s="260"/>
      <c r="AF9" s="232"/>
      <c r="AG9" s="232"/>
      <c r="AH9" s="220">
        <f>'Individual Parcel Estimate'!E9</f>
        <v>0</v>
      </c>
      <c r="AI9" s="270">
        <f>'Individual Parcel Estimate'!AQ9</f>
        <v>0</v>
      </c>
      <c r="AJ9" s="105"/>
      <c r="AK9" s="105"/>
      <c r="AL9" s="105"/>
      <c r="AM9" s="105"/>
    </row>
    <row r="10" spans="1:39" ht="15">
      <c r="A10" s="220">
        <f>'Individual Parcel Estimate'!A10</f>
        <v>0</v>
      </c>
      <c r="B10" s="220">
        <f>'Individual Parcel Estimate'!B10</f>
        <v>0</v>
      </c>
      <c r="C10" s="220">
        <f>'Individual Parcel Estimate'!C10</f>
        <v>0</v>
      </c>
      <c r="D10" s="359">
        <f>'Individual Parcel Estimate'!D10</f>
        <v>0</v>
      </c>
      <c r="E10" s="260"/>
      <c r="F10" s="260"/>
      <c r="G10" s="271">
        <f>'Individual Parcel Estimate'!T10</f>
        <v>0</v>
      </c>
      <c r="H10" s="260"/>
      <c r="I10" s="316">
        <f>'Individual Parcel Estimate'!Q10</f>
        <v>0</v>
      </c>
      <c r="J10" s="220">
        <f>'Individual Parcel Estimate'!R10</f>
        <v>0</v>
      </c>
      <c r="K10" s="220">
        <f>'Individual Parcel Estimate'!X10</f>
        <v>0</v>
      </c>
      <c r="L10" s="220">
        <f>'Individual Parcel Estimate'!V10</f>
        <v>0</v>
      </c>
      <c r="M10" s="260"/>
      <c r="N10" s="260"/>
      <c r="O10" s="220" t="str">
        <f>IF('Individual Parcel Estimate'!F10&gt;0,"Y","N")</f>
        <v>N</v>
      </c>
      <c r="P10" s="260"/>
      <c r="Q10" s="260"/>
      <c r="R10" s="220" t="str">
        <f>IF('Individual Parcel Estimate'!$AC10&gt;0,"Y","N")</f>
        <v>N</v>
      </c>
      <c r="S10" s="260"/>
      <c r="T10" s="260"/>
      <c r="U10" s="220" t="str">
        <f>IF('Individual Parcel Estimate'!$AI10&gt;0,"Y","N")</f>
        <v>N</v>
      </c>
      <c r="V10" s="260"/>
      <c r="W10" s="260"/>
      <c r="X10" s="260"/>
      <c r="Y10" s="232"/>
      <c r="Z10" s="232"/>
      <c r="AA10" s="260"/>
      <c r="AB10" s="260"/>
      <c r="AC10" s="260"/>
      <c r="AD10" s="260"/>
      <c r="AE10" s="260"/>
      <c r="AF10" s="232"/>
      <c r="AG10" s="232"/>
      <c r="AH10" s="220">
        <f>'Individual Parcel Estimate'!E10</f>
        <v>0</v>
      </c>
      <c r="AI10" s="270">
        <f>'Individual Parcel Estimate'!AQ10</f>
        <v>0</v>
      </c>
      <c r="AJ10" s="105"/>
      <c r="AK10" s="105"/>
      <c r="AL10" s="105"/>
      <c r="AM10" s="105"/>
    </row>
    <row r="11" spans="1:39" ht="15">
      <c r="A11" s="220">
        <f>'Individual Parcel Estimate'!A11</f>
        <v>0</v>
      </c>
      <c r="B11" s="220">
        <f>'Individual Parcel Estimate'!B11</f>
        <v>0</v>
      </c>
      <c r="C11" s="220">
        <f>'Individual Parcel Estimate'!C11</f>
        <v>0</v>
      </c>
      <c r="D11" s="359">
        <f>'Individual Parcel Estimate'!D11</f>
        <v>0</v>
      </c>
      <c r="E11" s="260"/>
      <c r="F11" s="260"/>
      <c r="G11" s="271">
        <f>'Individual Parcel Estimate'!T11</f>
        <v>0</v>
      </c>
      <c r="H11" s="260"/>
      <c r="I11" s="316">
        <f>'Individual Parcel Estimate'!Q11</f>
        <v>0</v>
      </c>
      <c r="J11" s="220">
        <f>'Individual Parcel Estimate'!R11</f>
        <v>0</v>
      </c>
      <c r="K11" s="220">
        <f>'Individual Parcel Estimate'!X11</f>
        <v>0</v>
      </c>
      <c r="L11" s="220">
        <f>'Individual Parcel Estimate'!V11</f>
        <v>0</v>
      </c>
      <c r="M11" s="260"/>
      <c r="N11" s="260"/>
      <c r="O11" s="220" t="str">
        <f>IF('Individual Parcel Estimate'!F11&gt;0,"Y","N")</f>
        <v>N</v>
      </c>
      <c r="P11" s="260"/>
      <c r="Q11" s="260"/>
      <c r="R11" s="220" t="str">
        <f>IF('Individual Parcel Estimate'!$AC11&gt;0,"Y","N")</f>
        <v>N</v>
      </c>
      <c r="S11" s="260"/>
      <c r="T11" s="260"/>
      <c r="U11" s="220" t="str">
        <f>IF('Individual Parcel Estimate'!$AI11&gt;0,"Y","N")</f>
        <v>N</v>
      </c>
      <c r="V11" s="260"/>
      <c r="W11" s="260"/>
      <c r="X11" s="260"/>
      <c r="Y11" s="232"/>
      <c r="Z11" s="232"/>
      <c r="AA11" s="260"/>
      <c r="AB11" s="260"/>
      <c r="AC11" s="260"/>
      <c r="AD11" s="260"/>
      <c r="AE11" s="260"/>
      <c r="AF11" s="232"/>
      <c r="AG11" s="232"/>
      <c r="AH11" s="220">
        <f>'Individual Parcel Estimate'!E11</f>
        <v>0</v>
      </c>
      <c r="AI11" s="270">
        <f>'Individual Parcel Estimate'!AQ11</f>
        <v>0</v>
      </c>
      <c r="AJ11" s="105"/>
      <c r="AK11" s="105"/>
      <c r="AL11" s="105"/>
      <c r="AM11" s="105"/>
    </row>
    <row r="12" spans="1:39" ht="15">
      <c r="A12" s="220">
        <f>'Individual Parcel Estimate'!A12</f>
        <v>0</v>
      </c>
      <c r="B12" s="220">
        <f>'Individual Parcel Estimate'!B12</f>
        <v>0</v>
      </c>
      <c r="C12" s="220">
        <f>'Individual Parcel Estimate'!C12</f>
        <v>0</v>
      </c>
      <c r="D12" s="359">
        <f>'Individual Parcel Estimate'!D12</f>
        <v>0</v>
      </c>
      <c r="E12" s="260"/>
      <c r="F12" s="260"/>
      <c r="G12" s="271">
        <f>'Individual Parcel Estimate'!T12</f>
        <v>0</v>
      </c>
      <c r="H12" s="260"/>
      <c r="I12" s="316">
        <f>'Individual Parcel Estimate'!Q12</f>
        <v>0</v>
      </c>
      <c r="J12" s="220">
        <f>'Individual Parcel Estimate'!R12</f>
        <v>0</v>
      </c>
      <c r="K12" s="220">
        <f>'Individual Parcel Estimate'!X12</f>
        <v>0</v>
      </c>
      <c r="L12" s="220">
        <f>'Individual Parcel Estimate'!V12</f>
        <v>0</v>
      </c>
      <c r="M12" s="260"/>
      <c r="N12" s="260"/>
      <c r="O12" s="220" t="str">
        <f>IF('Individual Parcel Estimate'!F12&gt;0,"Y","N")</f>
        <v>N</v>
      </c>
      <c r="P12" s="260"/>
      <c r="Q12" s="260"/>
      <c r="R12" s="220" t="str">
        <f>IF('Individual Parcel Estimate'!$AC12&gt;0,"Y","N")</f>
        <v>N</v>
      </c>
      <c r="S12" s="260"/>
      <c r="T12" s="260"/>
      <c r="U12" s="220" t="str">
        <f>IF('Individual Parcel Estimate'!$AI12&gt;0,"Y","N")</f>
        <v>N</v>
      </c>
      <c r="V12" s="260"/>
      <c r="W12" s="260"/>
      <c r="X12" s="260"/>
      <c r="Y12" s="232"/>
      <c r="Z12" s="232"/>
      <c r="AA12" s="260"/>
      <c r="AB12" s="260"/>
      <c r="AC12" s="260"/>
      <c r="AD12" s="260"/>
      <c r="AE12" s="260"/>
      <c r="AF12" s="232"/>
      <c r="AG12" s="232"/>
      <c r="AH12" s="220">
        <f>'Individual Parcel Estimate'!E12</f>
        <v>0</v>
      </c>
      <c r="AI12" s="270">
        <f>'Individual Parcel Estimate'!AQ12</f>
        <v>0</v>
      </c>
      <c r="AJ12" s="105"/>
      <c r="AK12" s="105"/>
      <c r="AL12" s="105"/>
      <c r="AM12" s="105"/>
    </row>
    <row r="13" spans="1:39" ht="15">
      <c r="A13" s="220">
        <f>'Individual Parcel Estimate'!A13</f>
        <v>0</v>
      </c>
      <c r="B13" s="220">
        <f>'Individual Parcel Estimate'!B13</f>
        <v>0</v>
      </c>
      <c r="C13" s="220">
        <f>'Individual Parcel Estimate'!C13</f>
        <v>0</v>
      </c>
      <c r="D13" s="359">
        <f>'Individual Parcel Estimate'!D13</f>
        <v>0</v>
      </c>
      <c r="E13" s="260"/>
      <c r="F13" s="260"/>
      <c r="G13" s="271">
        <f>'Individual Parcel Estimate'!T13</f>
        <v>0</v>
      </c>
      <c r="H13" s="260"/>
      <c r="I13" s="316">
        <f>'Individual Parcel Estimate'!Q13</f>
        <v>0</v>
      </c>
      <c r="J13" s="220">
        <f>'Individual Parcel Estimate'!R13</f>
        <v>0</v>
      </c>
      <c r="K13" s="220">
        <f>'Individual Parcel Estimate'!X13</f>
        <v>0</v>
      </c>
      <c r="L13" s="220">
        <f>'Individual Parcel Estimate'!V13</f>
        <v>0</v>
      </c>
      <c r="M13" s="260"/>
      <c r="N13" s="260"/>
      <c r="O13" s="220" t="str">
        <f>IF('Individual Parcel Estimate'!F13&gt;0,"Y","N")</f>
        <v>N</v>
      </c>
      <c r="P13" s="260"/>
      <c r="Q13" s="260"/>
      <c r="R13" s="220" t="str">
        <f>IF('Individual Parcel Estimate'!$AC13&gt;0,"Y","N")</f>
        <v>N</v>
      </c>
      <c r="S13" s="260"/>
      <c r="T13" s="260"/>
      <c r="U13" s="220" t="str">
        <f>IF('Individual Parcel Estimate'!$AI13&gt;0,"Y","N")</f>
        <v>N</v>
      </c>
      <c r="V13" s="260"/>
      <c r="W13" s="260"/>
      <c r="X13" s="260"/>
      <c r="Y13" s="232"/>
      <c r="Z13" s="232"/>
      <c r="AA13" s="260"/>
      <c r="AB13" s="260"/>
      <c r="AC13" s="260"/>
      <c r="AD13" s="260"/>
      <c r="AE13" s="260"/>
      <c r="AF13" s="232"/>
      <c r="AG13" s="232"/>
      <c r="AH13" s="220">
        <f>'Individual Parcel Estimate'!E13</f>
        <v>0</v>
      </c>
      <c r="AI13" s="270">
        <f>'Individual Parcel Estimate'!AQ13</f>
        <v>0</v>
      </c>
      <c r="AJ13" s="105"/>
      <c r="AK13" s="105"/>
      <c r="AL13" s="105"/>
      <c r="AM13" s="105"/>
    </row>
    <row r="14" spans="1:39" ht="15">
      <c r="A14" s="220">
        <f>'Individual Parcel Estimate'!A14</f>
        <v>0</v>
      </c>
      <c r="B14" s="220">
        <f>'Individual Parcel Estimate'!B14</f>
        <v>0</v>
      </c>
      <c r="C14" s="220">
        <f>'Individual Parcel Estimate'!C14</f>
        <v>0</v>
      </c>
      <c r="D14" s="359">
        <f>'Individual Parcel Estimate'!D14</f>
        <v>0</v>
      </c>
      <c r="E14" s="260"/>
      <c r="F14" s="260"/>
      <c r="G14" s="271">
        <f>'Individual Parcel Estimate'!T14</f>
        <v>0</v>
      </c>
      <c r="H14" s="260"/>
      <c r="I14" s="316">
        <f>'Individual Parcel Estimate'!Q14</f>
        <v>0</v>
      </c>
      <c r="J14" s="220">
        <f>'Individual Parcel Estimate'!R14</f>
        <v>0</v>
      </c>
      <c r="K14" s="220">
        <f>'Individual Parcel Estimate'!X14</f>
        <v>0</v>
      </c>
      <c r="L14" s="220">
        <f>'Individual Parcel Estimate'!V14</f>
        <v>0</v>
      </c>
      <c r="M14" s="260"/>
      <c r="N14" s="260"/>
      <c r="O14" s="220" t="str">
        <f>IF('Individual Parcel Estimate'!F14&gt;0,"Y","N")</f>
        <v>N</v>
      </c>
      <c r="P14" s="260"/>
      <c r="Q14" s="260"/>
      <c r="R14" s="220" t="str">
        <f>IF('Individual Parcel Estimate'!$AC14&gt;0,"Y","N")</f>
        <v>N</v>
      </c>
      <c r="S14" s="260"/>
      <c r="T14" s="260"/>
      <c r="U14" s="220" t="str">
        <f>IF('Individual Parcel Estimate'!$AI14&gt;0,"Y","N")</f>
        <v>N</v>
      </c>
      <c r="V14" s="260"/>
      <c r="W14" s="260"/>
      <c r="X14" s="260"/>
      <c r="Y14" s="232"/>
      <c r="Z14" s="232"/>
      <c r="AA14" s="260"/>
      <c r="AB14" s="260"/>
      <c r="AC14" s="260"/>
      <c r="AD14" s="260"/>
      <c r="AE14" s="260"/>
      <c r="AF14" s="232"/>
      <c r="AG14" s="232"/>
      <c r="AH14" s="220">
        <f>'Individual Parcel Estimate'!E14</f>
        <v>0</v>
      </c>
      <c r="AI14" s="270">
        <f>'Individual Parcel Estimate'!AQ14</f>
        <v>0</v>
      </c>
      <c r="AJ14" s="105"/>
      <c r="AK14" s="105"/>
      <c r="AL14" s="105"/>
      <c r="AM14" s="105"/>
    </row>
    <row r="15" spans="1:39" ht="15">
      <c r="A15" s="220">
        <f>'Individual Parcel Estimate'!A15</f>
        <v>0</v>
      </c>
      <c r="B15" s="220">
        <f>'Individual Parcel Estimate'!B15</f>
        <v>0</v>
      </c>
      <c r="C15" s="220">
        <f>'Individual Parcel Estimate'!C15</f>
        <v>0</v>
      </c>
      <c r="D15" s="359">
        <f>'Individual Parcel Estimate'!D15</f>
        <v>0</v>
      </c>
      <c r="E15" s="260"/>
      <c r="F15" s="260"/>
      <c r="G15" s="271">
        <f>'Individual Parcel Estimate'!T15</f>
        <v>0</v>
      </c>
      <c r="H15" s="260"/>
      <c r="I15" s="316">
        <f>'Individual Parcel Estimate'!Q15</f>
        <v>0</v>
      </c>
      <c r="J15" s="220">
        <f>'Individual Parcel Estimate'!R15</f>
        <v>0</v>
      </c>
      <c r="K15" s="220">
        <f>'Individual Parcel Estimate'!X15</f>
        <v>0</v>
      </c>
      <c r="L15" s="220">
        <f>'Individual Parcel Estimate'!V15</f>
        <v>0</v>
      </c>
      <c r="M15" s="260"/>
      <c r="N15" s="260"/>
      <c r="O15" s="220" t="str">
        <f>IF('Individual Parcel Estimate'!F15&gt;0,"Y","N")</f>
        <v>N</v>
      </c>
      <c r="P15" s="260"/>
      <c r="Q15" s="260"/>
      <c r="R15" s="220" t="str">
        <f>IF('Individual Parcel Estimate'!$AC15&gt;0,"Y","N")</f>
        <v>N</v>
      </c>
      <c r="S15" s="260"/>
      <c r="T15" s="260"/>
      <c r="U15" s="220" t="str">
        <f>IF('Individual Parcel Estimate'!$AI15&gt;0,"Y","N")</f>
        <v>N</v>
      </c>
      <c r="V15" s="260"/>
      <c r="W15" s="260"/>
      <c r="X15" s="260"/>
      <c r="Y15" s="232"/>
      <c r="Z15" s="232"/>
      <c r="AA15" s="260"/>
      <c r="AB15" s="260"/>
      <c r="AC15" s="260"/>
      <c r="AD15" s="260"/>
      <c r="AE15" s="260"/>
      <c r="AF15" s="232"/>
      <c r="AG15" s="232"/>
      <c r="AH15" s="220">
        <f>'Individual Parcel Estimate'!E15</f>
        <v>0</v>
      </c>
      <c r="AI15" s="270">
        <f>'Individual Parcel Estimate'!AQ15</f>
        <v>0</v>
      </c>
      <c r="AJ15" s="105"/>
      <c r="AK15" s="105"/>
      <c r="AL15" s="105"/>
      <c r="AM15" s="105"/>
    </row>
    <row r="16" spans="1:39" ht="15">
      <c r="A16" s="220">
        <f>'Individual Parcel Estimate'!A16</f>
        <v>0</v>
      </c>
      <c r="B16" s="220">
        <f>'Individual Parcel Estimate'!B16</f>
        <v>0</v>
      </c>
      <c r="C16" s="220">
        <f>'Individual Parcel Estimate'!C16</f>
        <v>0</v>
      </c>
      <c r="D16" s="359">
        <f>'Individual Parcel Estimate'!D16</f>
        <v>0</v>
      </c>
      <c r="E16" s="260"/>
      <c r="F16" s="260"/>
      <c r="G16" s="271">
        <f>'Individual Parcel Estimate'!T16</f>
        <v>0</v>
      </c>
      <c r="H16" s="260"/>
      <c r="I16" s="316">
        <f>'Individual Parcel Estimate'!Q16</f>
        <v>0</v>
      </c>
      <c r="J16" s="220">
        <f>'Individual Parcel Estimate'!R16</f>
        <v>0</v>
      </c>
      <c r="K16" s="220">
        <f>'Individual Parcel Estimate'!X16</f>
        <v>0</v>
      </c>
      <c r="L16" s="220">
        <f>'Individual Parcel Estimate'!V16</f>
        <v>0</v>
      </c>
      <c r="M16" s="260"/>
      <c r="N16" s="260"/>
      <c r="O16" s="220" t="str">
        <f>IF('Individual Parcel Estimate'!F16&gt;0,"Y","N")</f>
        <v>N</v>
      </c>
      <c r="P16" s="260"/>
      <c r="Q16" s="260"/>
      <c r="R16" s="220" t="str">
        <f>IF('Individual Parcel Estimate'!$AC16&gt;0,"Y","N")</f>
        <v>N</v>
      </c>
      <c r="S16" s="260"/>
      <c r="T16" s="260"/>
      <c r="U16" s="220" t="str">
        <f>IF('Individual Parcel Estimate'!$AI16&gt;0,"Y","N")</f>
        <v>N</v>
      </c>
      <c r="V16" s="260"/>
      <c r="W16" s="260"/>
      <c r="X16" s="260"/>
      <c r="Y16" s="232"/>
      <c r="Z16" s="232"/>
      <c r="AA16" s="260"/>
      <c r="AB16" s="260"/>
      <c r="AC16" s="260"/>
      <c r="AD16" s="260"/>
      <c r="AE16" s="260"/>
      <c r="AF16" s="232"/>
      <c r="AG16" s="232"/>
      <c r="AH16" s="220">
        <f>'Individual Parcel Estimate'!E16</f>
        <v>0</v>
      </c>
      <c r="AI16" s="270">
        <f>'Individual Parcel Estimate'!AQ16</f>
        <v>0</v>
      </c>
      <c r="AJ16" s="105"/>
      <c r="AK16" s="105"/>
      <c r="AL16" s="105"/>
      <c r="AM16" s="105"/>
    </row>
    <row r="17" spans="1:39" ht="15">
      <c r="A17" s="220">
        <f>'Individual Parcel Estimate'!A17</f>
        <v>0</v>
      </c>
      <c r="B17" s="220">
        <f>'Individual Parcel Estimate'!B17</f>
        <v>0</v>
      </c>
      <c r="C17" s="220">
        <f>'Individual Parcel Estimate'!C17</f>
        <v>0</v>
      </c>
      <c r="D17" s="359">
        <f>'Individual Parcel Estimate'!D17</f>
        <v>0</v>
      </c>
      <c r="E17" s="260"/>
      <c r="F17" s="260"/>
      <c r="G17" s="271">
        <f>'Individual Parcel Estimate'!T17</f>
        <v>0</v>
      </c>
      <c r="H17" s="260"/>
      <c r="I17" s="316">
        <f>'Individual Parcel Estimate'!Q17</f>
        <v>0</v>
      </c>
      <c r="J17" s="220">
        <f>'Individual Parcel Estimate'!R17</f>
        <v>0</v>
      </c>
      <c r="K17" s="220">
        <f>'Individual Parcel Estimate'!X17</f>
        <v>0</v>
      </c>
      <c r="L17" s="220">
        <f>'Individual Parcel Estimate'!V17</f>
        <v>0</v>
      </c>
      <c r="M17" s="260"/>
      <c r="N17" s="260"/>
      <c r="O17" s="220" t="str">
        <f>IF('Individual Parcel Estimate'!F17&gt;0,"Y","N")</f>
        <v>N</v>
      </c>
      <c r="P17" s="260"/>
      <c r="Q17" s="260"/>
      <c r="R17" s="220" t="str">
        <f>IF('Individual Parcel Estimate'!$AC17&gt;0,"Y","N")</f>
        <v>N</v>
      </c>
      <c r="S17" s="260"/>
      <c r="T17" s="260"/>
      <c r="U17" s="220" t="str">
        <f>IF('Individual Parcel Estimate'!$AI17&gt;0,"Y","N")</f>
        <v>N</v>
      </c>
      <c r="V17" s="260"/>
      <c r="W17" s="260"/>
      <c r="X17" s="260"/>
      <c r="Y17" s="232"/>
      <c r="Z17" s="232"/>
      <c r="AA17" s="260"/>
      <c r="AB17" s="260"/>
      <c r="AC17" s="260"/>
      <c r="AD17" s="260"/>
      <c r="AE17" s="260"/>
      <c r="AF17" s="232"/>
      <c r="AG17" s="232"/>
      <c r="AH17" s="220">
        <f>'Individual Parcel Estimate'!E17</f>
        <v>0</v>
      </c>
      <c r="AI17" s="270">
        <f>'Individual Parcel Estimate'!AQ17</f>
        <v>0</v>
      </c>
      <c r="AJ17" s="105"/>
      <c r="AK17" s="105"/>
      <c r="AL17" s="105"/>
      <c r="AM17" s="105"/>
    </row>
    <row r="18" spans="1:39" ht="15">
      <c r="A18" s="220">
        <f>'Individual Parcel Estimate'!A18</f>
        <v>0</v>
      </c>
      <c r="B18" s="220">
        <f>'Individual Parcel Estimate'!B18</f>
        <v>0</v>
      </c>
      <c r="C18" s="220">
        <f>'Individual Parcel Estimate'!C18</f>
        <v>0</v>
      </c>
      <c r="D18" s="359">
        <f>'Individual Parcel Estimate'!D18</f>
        <v>0</v>
      </c>
      <c r="E18" s="260"/>
      <c r="F18" s="260"/>
      <c r="G18" s="271">
        <f>'Individual Parcel Estimate'!T18</f>
        <v>0</v>
      </c>
      <c r="H18" s="260"/>
      <c r="I18" s="316">
        <f>'Individual Parcel Estimate'!Q18</f>
        <v>0</v>
      </c>
      <c r="J18" s="220">
        <f>'Individual Parcel Estimate'!R18</f>
        <v>0</v>
      </c>
      <c r="K18" s="220">
        <f>'Individual Parcel Estimate'!X18</f>
        <v>0</v>
      </c>
      <c r="L18" s="220">
        <f>'Individual Parcel Estimate'!V18</f>
        <v>0</v>
      </c>
      <c r="M18" s="260"/>
      <c r="N18" s="260"/>
      <c r="O18" s="220" t="str">
        <f>IF('Individual Parcel Estimate'!F18&gt;0,"Y","N")</f>
        <v>N</v>
      </c>
      <c r="P18" s="260"/>
      <c r="Q18" s="260"/>
      <c r="R18" s="220" t="str">
        <f>IF('Individual Parcel Estimate'!$AC18&gt;0,"Y","N")</f>
        <v>N</v>
      </c>
      <c r="S18" s="260"/>
      <c r="T18" s="260"/>
      <c r="U18" s="220" t="str">
        <f>IF('Individual Parcel Estimate'!$AI18&gt;0,"Y","N")</f>
        <v>N</v>
      </c>
      <c r="V18" s="260"/>
      <c r="W18" s="260"/>
      <c r="X18" s="260"/>
      <c r="Y18" s="232"/>
      <c r="Z18" s="232"/>
      <c r="AA18" s="260"/>
      <c r="AB18" s="260"/>
      <c r="AC18" s="260"/>
      <c r="AD18" s="260"/>
      <c r="AE18" s="260"/>
      <c r="AF18" s="232"/>
      <c r="AG18" s="232"/>
      <c r="AH18" s="220">
        <f>'Individual Parcel Estimate'!E18</f>
        <v>0</v>
      </c>
      <c r="AI18" s="270">
        <f>'Individual Parcel Estimate'!AQ18</f>
        <v>0</v>
      </c>
      <c r="AJ18" s="105"/>
      <c r="AK18" s="105"/>
      <c r="AL18" s="105"/>
      <c r="AM18" s="105"/>
    </row>
    <row r="19" spans="1:39" ht="15">
      <c r="A19" s="220">
        <f>'Individual Parcel Estimate'!A19</f>
        <v>0</v>
      </c>
      <c r="B19" s="220">
        <f>'Individual Parcel Estimate'!B19</f>
        <v>0</v>
      </c>
      <c r="C19" s="220">
        <f>'Individual Parcel Estimate'!C19</f>
        <v>0</v>
      </c>
      <c r="D19" s="359">
        <f>'Individual Parcel Estimate'!D19</f>
        <v>0</v>
      </c>
      <c r="E19" s="260"/>
      <c r="F19" s="260"/>
      <c r="G19" s="271">
        <f>'Individual Parcel Estimate'!T19</f>
        <v>0</v>
      </c>
      <c r="H19" s="260"/>
      <c r="I19" s="316">
        <f>'Individual Parcel Estimate'!Q19</f>
        <v>0</v>
      </c>
      <c r="J19" s="220">
        <f>'Individual Parcel Estimate'!R19</f>
        <v>0</v>
      </c>
      <c r="K19" s="220">
        <f>'Individual Parcel Estimate'!X19</f>
        <v>0</v>
      </c>
      <c r="L19" s="220">
        <f>'Individual Parcel Estimate'!V19</f>
        <v>0</v>
      </c>
      <c r="M19" s="260"/>
      <c r="N19" s="260"/>
      <c r="O19" s="220" t="str">
        <f>IF('Individual Parcel Estimate'!F19&gt;0,"Y","N")</f>
        <v>N</v>
      </c>
      <c r="P19" s="260"/>
      <c r="Q19" s="260"/>
      <c r="R19" s="220" t="str">
        <f>IF('Individual Parcel Estimate'!$AC19&gt;0,"Y","N")</f>
        <v>N</v>
      </c>
      <c r="S19" s="260"/>
      <c r="T19" s="260"/>
      <c r="U19" s="220" t="str">
        <f>IF('Individual Parcel Estimate'!$AI19&gt;0,"Y","N")</f>
        <v>N</v>
      </c>
      <c r="V19" s="260"/>
      <c r="W19" s="260"/>
      <c r="X19" s="260"/>
      <c r="Y19" s="232"/>
      <c r="Z19" s="232"/>
      <c r="AA19" s="260"/>
      <c r="AB19" s="260"/>
      <c r="AC19" s="260"/>
      <c r="AD19" s="260"/>
      <c r="AE19" s="260"/>
      <c r="AF19" s="232"/>
      <c r="AG19" s="232"/>
      <c r="AH19" s="220">
        <f>'Individual Parcel Estimate'!E19</f>
        <v>0</v>
      </c>
      <c r="AI19" s="270">
        <f>'Individual Parcel Estimate'!AQ19</f>
        <v>0</v>
      </c>
      <c r="AJ19" s="105"/>
      <c r="AK19" s="105"/>
      <c r="AL19" s="105"/>
      <c r="AM19" s="105"/>
    </row>
    <row r="20" spans="1:39" ht="15">
      <c r="A20" s="220">
        <f>'Individual Parcel Estimate'!A20</f>
        <v>0</v>
      </c>
      <c r="B20" s="220">
        <f>'Individual Parcel Estimate'!B20</f>
        <v>0</v>
      </c>
      <c r="C20" s="220">
        <f>'Individual Parcel Estimate'!C20</f>
        <v>0</v>
      </c>
      <c r="D20" s="359">
        <f>'Individual Parcel Estimate'!D20</f>
        <v>0</v>
      </c>
      <c r="E20" s="260"/>
      <c r="F20" s="260"/>
      <c r="G20" s="271">
        <f>'Individual Parcel Estimate'!T20</f>
        <v>0</v>
      </c>
      <c r="H20" s="260"/>
      <c r="I20" s="316">
        <f>'Individual Parcel Estimate'!Q20</f>
        <v>0</v>
      </c>
      <c r="J20" s="220">
        <f>'Individual Parcel Estimate'!R20</f>
        <v>0</v>
      </c>
      <c r="K20" s="220">
        <f>'Individual Parcel Estimate'!X20</f>
        <v>0</v>
      </c>
      <c r="L20" s="220">
        <f>'Individual Parcel Estimate'!V20</f>
        <v>0</v>
      </c>
      <c r="M20" s="260"/>
      <c r="N20" s="260"/>
      <c r="O20" s="220" t="str">
        <f>IF('Individual Parcel Estimate'!F20&gt;0,"Y","N")</f>
        <v>N</v>
      </c>
      <c r="P20" s="260"/>
      <c r="Q20" s="260"/>
      <c r="R20" s="220" t="str">
        <f>IF('Individual Parcel Estimate'!$AC20&gt;0,"Y","N")</f>
        <v>N</v>
      </c>
      <c r="S20" s="260"/>
      <c r="T20" s="260"/>
      <c r="U20" s="220" t="str">
        <f>IF('Individual Parcel Estimate'!$AI20&gt;0,"Y","N")</f>
        <v>N</v>
      </c>
      <c r="V20" s="260"/>
      <c r="W20" s="260"/>
      <c r="X20" s="260"/>
      <c r="Y20" s="232"/>
      <c r="Z20" s="232"/>
      <c r="AA20" s="260"/>
      <c r="AB20" s="260"/>
      <c r="AC20" s="260"/>
      <c r="AD20" s="260"/>
      <c r="AE20" s="260"/>
      <c r="AF20" s="232"/>
      <c r="AG20" s="232"/>
      <c r="AH20" s="220">
        <f>'Individual Parcel Estimate'!E20</f>
        <v>0</v>
      </c>
      <c r="AI20" s="270">
        <f>'Individual Parcel Estimate'!AQ20</f>
        <v>0</v>
      </c>
      <c r="AJ20" s="105"/>
      <c r="AK20" s="105"/>
      <c r="AL20" s="105"/>
      <c r="AM20" s="105"/>
    </row>
    <row r="21" spans="1:39" ht="15">
      <c r="A21" s="220">
        <f>'Individual Parcel Estimate'!A21</f>
        <v>0</v>
      </c>
      <c r="B21" s="220">
        <f>'Individual Parcel Estimate'!B21</f>
        <v>0</v>
      </c>
      <c r="C21" s="220">
        <f>'Individual Parcel Estimate'!C21</f>
        <v>0</v>
      </c>
      <c r="D21" s="359">
        <f>'Individual Parcel Estimate'!D21</f>
        <v>0</v>
      </c>
      <c r="E21" s="260"/>
      <c r="F21" s="260"/>
      <c r="G21" s="271">
        <f>'Individual Parcel Estimate'!T21</f>
        <v>0</v>
      </c>
      <c r="H21" s="260"/>
      <c r="I21" s="316">
        <f>'Individual Parcel Estimate'!Q21</f>
        <v>0</v>
      </c>
      <c r="J21" s="220">
        <f>'Individual Parcel Estimate'!R21</f>
        <v>0</v>
      </c>
      <c r="K21" s="220">
        <f>'Individual Parcel Estimate'!X21</f>
        <v>0</v>
      </c>
      <c r="L21" s="220">
        <f>'Individual Parcel Estimate'!V21</f>
        <v>0</v>
      </c>
      <c r="M21" s="260"/>
      <c r="N21" s="260"/>
      <c r="O21" s="220" t="str">
        <f>IF('Individual Parcel Estimate'!F21&gt;0,"Y","N")</f>
        <v>N</v>
      </c>
      <c r="P21" s="260"/>
      <c r="Q21" s="260"/>
      <c r="R21" s="220" t="str">
        <f>IF('Individual Parcel Estimate'!$AC21&gt;0,"Y","N")</f>
        <v>N</v>
      </c>
      <c r="S21" s="260"/>
      <c r="T21" s="260"/>
      <c r="U21" s="220" t="str">
        <f>IF('Individual Parcel Estimate'!$AI21&gt;0,"Y","N")</f>
        <v>N</v>
      </c>
      <c r="V21" s="260"/>
      <c r="W21" s="260"/>
      <c r="X21" s="260"/>
      <c r="Y21" s="232"/>
      <c r="Z21" s="232"/>
      <c r="AA21" s="260"/>
      <c r="AB21" s="260"/>
      <c r="AC21" s="260"/>
      <c r="AD21" s="260"/>
      <c r="AE21" s="260"/>
      <c r="AF21" s="232"/>
      <c r="AG21" s="232"/>
      <c r="AH21" s="220">
        <f>'Individual Parcel Estimate'!E21</f>
        <v>0</v>
      </c>
      <c r="AI21" s="270">
        <f>'Individual Parcel Estimate'!AQ21</f>
        <v>0</v>
      </c>
      <c r="AJ21" s="105"/>
      <c r="AK21" s="105"/>
      <c r="AL21" s="105"/>
      <c r="AM21" s="105"/>
    </row>
    <row r="22" spans="1:39" ht="15">
      <c r="A22" s="220">
        <f>'Individual Parcel Estimate'!A22</f>
        <v>0</v>
      </c>
      <c r="B22" s="220">
        <f>'Individual Parcel Estimate'!B22</f>
        <v>0</v>
      </c>
      <c r="C22" s="220">
        <f>'Individual Parcel Estimate'!C22</f>
        <v>0</v>
      </c>
      <c r="D22" s="359">
        <f>'Individual Parcel Estimate'!D22</f>
        <v>0</v>
      </c>
      <c r="E22" s="260"/>
      <c r="F22" s="260"/>
      <c r="G22" s="271">
        <f>'Individual Parcel Estimate'!T22</f>
        <v>0</v>
      </c>
      <c r="H22" s="260"/>
      <c r="I22" s="316">
        <f>'Individual Parcel Estimate'!Q22</f>
        <v>0</v>
      </c>
      <c r="J22" s="220">
        <f>'Individual Parcel Estimate'!R22</f>
        <v>0</v>
      </c>
      <c r="K22" s="220">
        <f>'Individual Parcel Estimate'!X22</f>
        <v>0</v>
      </c>
      <c r="L22" s="220">
        <f>'Individual Parcel Estimate'!V22</f>
        <v>0</v>
      </c>
      <c r="M22" s="260"/>
      <c r="N22" s="260"/>
      <c r="O22" s="220" t="str">
        <f>IF('Individual Parcel Estimate'!F22&gt;0,"Y","N")</f>
        <v>N</v>
      </c>
      <c r="P22" s="260"/>
      <c r="Q22" s="260"/>
      <c r="R22" s="220" t="str">
        <f>IF('Individual Parcel Estimate'!$AC22&gt;0,"Y","N")</f>
        <v>N</v>
      </c>
      <c r="S22" s="260"/>
      <c r="T22" s="260"/>
      <c r="U22" s="220" t="str">
        <f>IF('Individual Parcel Estimate'!$AI22&gt;0,"Y","N")</f>
        <v>N</v>
      </c>
      <c r="V22" s="260"/>
      <c r="W22" s="260"/>
      <c r="X22" s="260"/>
      <c r="Y22" s="232"/>
      <c r="Z22" s="232"/>
      <c r="AA22" s="260"/>
      <c r="AB22" s="260"/>
      <c r="AC22" s="260"/>
      <c r="AD22" s="260"/>
      <c r="AE22" s="260"/>
      <c r="AF22" s="232"/>
      <c r="AG22" s="232"/>
      <c r="AH22" s="220">
        <f>'Individual Parcel Estimate'!E22</f>
        <v>0</v>
      </c>
      <c r="AI22" s="270">
        <f>'Individual Parcel Estimate'!AQ22</f>
        <v>0</v>
      </c>
      <c r="AJ22" s="105"/>
      <c r="AK22" s="105"/>
      <c r="AL22" s="105"/>
      <c r="AM22" s="105"/>
    </row>
    <row r="23" spans="1:39" ht="15">
      <c r="A23" s="220">
        <f>'Individual Parcel Estimate'!A23</f>
        <v>0</v>
      </c>
      <c r="B23" s="220">
        <f>'Individual Parcel Estimate'!B23</f>
        <v>0</v>
      </c>
      <c r="C23" s="220">
        <f>'Individual Parcel Estimate'!C23</f>
        <v>0</v>
      </c>
      <c r="D23" s="359">
        <f>'Individual Parcel Estimate'!D23</f>
        <v>0</v>
      </c>
      <c r="E23" s="260"/>
      <c r="F23" s="260"/>
      <c r="G23" s="271">
        <f>'Individual Parcel Estimate'!T23</f>
        <v>0</v>
      </c>
      <c r="H23" s="260"/>
      <c r="I23" s="316">
        <f>'Individual Parcel Estimate'!Q23</f>
        <v>0</v>
      </c>
      <c r="J23" s="220">
        <f>'Individual Parcel Estimate'!R23</f>
        <v>0</v>
      </c>
      <c r="K23" s="220">
        <f>'Individual Parcel Estimate'!X23</f>
        <v>0</v>
      </c>
      <c r="L23" s="220">
        <f>'Individual Parcel Estimate'!V23</f>
        <v>0</v>
      </c>
      <c r="M23" s="260"/>
      <c r="N23" s="260"/>
      <c r="O23" s="220" t="str">
        <f>IF('Individual Parcel Estimate'!F23&gt;0,"Y","N")</f>
        <v>N</v>
      </c>
      <c r="P23" s="260"/>
      <c r="Q23" s="260"/>
      <c r="R23" s="220" t="str">
        <f>IF('Individual Parcel Estimate'!$AC23&gt;0,"Y","N")</f>
        <v>N</v>
      </c>
      <c r="S23" s="260"/>
      <c r="T23" s="260"/>
      <c r="U23" s="220" t="str">
        <f>IF('Individual Parcel Estimate'!$AI23&gt;0,"Y","N")</f>
        <v>N</v>
      </c>
      <c r="V23" s="260"/>
      <c r="W23" s="260"/>
      <c r="X23" s="260"/>
      <c r="Y23" s="232"/>
      <c r="Z23" s="232"/>
      <c r="AA23" s="260"/>
      <c r="AB23" s="260"/>
      <c r="AC23" s="260"/>
      <c r="AD23" s="260"/>
      <c r="AE23" s="260"/>
      <c r="AF23" s="232"/>
      <c r="AG23" s="232"/>
      <c r="AH23" s="220">
        <f>'Individual Parcel Estimate'!E23</f>
        <v>0</v>
      </c>
      <c r="AI23" s="270">
        <f>'Individual Parcel Estimate'!AQ23</f>
        <v>0</v>
      </c>
      <c r="AJ23" s="105"/>
      <c r="AK23" s="105"/>
      <c r="AL23" s="105"/>
      <c r="AM23" s="105"/>
    </row>
    <row r="24" spans="1:39" ht="15">
      <c r="A24" s="220">
        <f>'Individual Parcel Estimate'!A24</f>
        <v>0</v>
      </c>
      <c r="B24" s="220">
        <f>'Individual Parcel Estimate'!B24</f>
        <v>0</v>
      </c>
      <c r="C24" s="220">
        <f>'Individual Parcel Estimate'!C24</f>
        <v>0</v>
      </c>
      <c r="D24" s="359">
        <f>'Individual Parcel Estimate'!D24</f>
        <v>0</v>
      </c>
      <c r="E24" s="260"/>
      <c r="F24" s="260"/>
      <c r="G24" s="271">
        <f>'Individual Parcel Estimate'!T24</f>
        <v>0</v>
      </c>
      <c r="H24" s="260"/>
      <c r="I24" s="316">
        <f>'Individual Parcel Estimate'!Q24</f>
        <v>0</v>
      </c>
      <c r="J24" s="220">
        <f>'Individual Parcel Estimate'!R24</f>
        <v>0</v>
      </c>
      <c r="K24" s="220">
        <f>'Individual Parcel Estimate'!X24</f>
        <v>0</v>
      </c>
      <c r="L24" s="220">
        <f>'Individual Parcel Estimate'!V24</f>
        <v>0</v>
      </c>
      <c r="M24" s="260"/>
      <c r="N24" s="260"/>
      <c r="O24" s="220" t="str">
        <f>IF('Individual Parcel Estimate'!F24&gt;0,"Y","N")</f>
        <v>N</v>
      </c>
      <c r="P24" s="260"/>
      <c r="Q24" s="260"/>
      <c r="R24" s="220" t="str">
        <f>IF('Individual Parcel Estimate'!$AC24&gt;0,"Y","N")</f>
        <v>N</v>
      </c>
      <c r="S24" s="260"/>
      <c r="T24" s="260"/>
      <c r="U24" s="220" t="str">
        <f>IF('Individual Parcel Estimate'!$AI24&gt;0,"Y","N")</f>
        <v>N</v>
      </c>
      <c r="V24" s="260"/>
      <c r="W24" s="260"/>
      <c r="X24" s="260"/>
      <c r="Y24" s="232"/>
      <c r="Z24" s="232"/>
      <c r="AA24" s="260"/>
      <c r="AB24" s="260"/>
      <c r="AC24" s="260"/>
      <c r="AD24" s="260"/>
      <c r="AE24" s="260"/>
      <c r="AF24" s="232"/>
      <c r="AG24" s="232"/>
      <c r="AH24" s="220">
        <f>'Individual Parcel Estimate'!E24</f>
        <v>0</v>
      </c>
      <c r="AI24" s="270">
        <f>'Individual Parcel Estimate'!AQ24</f>
        <v>0</v>
      </c>
      <c r="AJ24" s="105"/>
      <c r="AK24" s="105"/>
      <c r="AL24" s="105"/>
      <c r="AM24" s="105"/>
    </row>
    <row r="25" spans="1:39" ht="15">
      <c r="A25" s="220">
        <f>'Individual Parcel Estimate'!A25</f>
        <v>0</v>
      </c>
      <c r="B25" s="220">
        <f>'Individual Parcel Estimate'!B25</f>
        <v>0</v>
      </c>
      <c r="C25" s="220">
        <f>'Individual Parcel Estimate'!C25</f>
        <v>0</v>
      </c>
      <c r="D25" s="359">
        <f>'Individual Parcel Estimate'!D25</f>
        <v>0</v>
      </c>
      <c r="E25" s="260"/>
      <c r="F25" s="260"/>
      <c r="G25" s="271">
        <f>'Individual Parcel Estimate'!T25</f>
        <v>0</v>
      </c>
      <c r="H25" s="260"/>
      <c r="I25" s="316">
        <f>'Individual Parcel Estimate'!Q25</f>
        <v>0</v>
      </c>
      <c r="J25" s="220">
        <f>'Individual Parcel Estimate'!R25</f>
        <v>0</v>
      </c>
      <c r="K25" s="220">
        <f>'Individual Parcel Estimate'!X25</f>
        <v>0</v>
      </c>
      <c r="L25" s="220">
        <f>'Individual Parcel Estimate'!V25</f>
        <v>0</v>
      </c>
      <c r="M25" s="260"/>
      <c r="N25" s="260"/>
      <c r="O25" s="220" t="str">
        <f>IF('Individual Parcel Estimate'!F25&gt;0,"Y","N")</f>
        <v>N</v>
      </c>
      <c r="P25" s="260"/>
      <c r="Q25" s="260"/>
      <c r="R25" s="220" t="str">
        <f>IF('Individual Parcel Estimate'!$AC25&gt;0,"Y","N")</f>
        <v>N</v>
      </c>
      <c r="S25" s="260"/>
      <c r="T25" s="260"/>
      <c r="U25" s="220" t="str">
        <f>IF('Individual Parcel Estimate'!$AI25&gt;0,"Y","N")</f>
        <v>N</v>
      </c>
      <c r="V25" s="260"/>
      <c r="W25" s="260"/>
      <c r="X25" s="260"/>
      <c r="Y25" s="232"/>
      <c r="Z25" s="232"/>
      <c r="AA25" s="260"/>
      <c r="AB25" s="260"/>
      <c r="AC25" s="260"/>
      <c r="AD25" s="260"/>
      <c r="AE25" s="260"/>
      <c r="AF25" s="232"/>
      <c r="AG25" s="232"/>
      <c r="AH25" s="220">
        <f>'Individual Parcel Estimate'!E25</f>
        <v>0</v>
      </c>
      <c r="AI25" s="270">
        <f>'Individual Parcel Estimate'!AQ25</f>
        <v>0</v>
      </c>
      <c r="AJ25" s="105"/>
      <c r="AK25" s="105"/>
      <c r="AL25" s="105"/>
      <c r="AM25" s="105"/>
    </row>
    <row r="26" spans="1:39" ht="15">
      <c r="A26" s="220">
        <f>'Individual Parcel Estimate'!A26</f>
        <v>0</v>
      </c>
      <c r="B26" s="220">
        <f>'Individual Parcel Estimate'!B26</f>
        <v>0</v>
      </c>
      <c r="C26" s="220">
        <f>'Individual Parcel Estimate'!C26</f>
        <v>0</v>
      </c>
      <c r="D26" s="359">
        <f>'Individual Parcel Estimate'!D26</f>
        <v>0</v>
      </c>
      <c r="E26" s="260"/>
      <c r="F26" s="260"/>
      <c r="G26" s="271">
        <f>'Individual Parcel Estimate'!T26</f>
        <v>0</v>
      </c>
      <c r="H26" s="260"/>
      <c r="I26" s="316">
        <f>'Individual Parcel Estimate'!Q26</f>
        <v>0</v>
      </c>
      <c r="J26" s="220">
        <f>'Individual Parcel Estimate'!R26</f>
        <v>0</v>
      </c>
      <c r="K26" s="220">
        <f>'Individual Parcel Estimate'!X26</f>
        <v>0</v>
      </c>
      <c r="L26" s="220">
        <f>'Individual Parcel Estimate'!V26</f>
        <v>0</v>
      </c>
      <c r="M26" s="260"/>
      <c r="N26" s="260"/>
      <c r="O26" s="220" t="str">
        <f>IF('Individual Parcel Estimate'!F26&gt;0,"Y","N")</f>
        <v>N</v>
      </c>
      <c r="P26" s="260"/>
      <c r="Q26" s="260"/>
      <c r="R26" s="220" t="str">
        <f>IF('Individual Parcel Estimate'!$AC26&gt;0,"Y","N")</f>
        <v>N</v>
      </c>
      <c r="S26" s="260"/>
      <c r="T26" s="260"/>
      <c r="U26" s="220" t="str">
        <f>IF('Individual Parcel Estimate'!$AI26&gt;0,"Y","N")</f>
        <v>N</v>
      </c>
      <c r="V26" s="260"/>
      <c r="W26" s="260"/>
      <c r="X26" s="260"/>
      <c r="Y26" s="232"/>
      <c r="Z26" s="232"/>
      <c r="AA26" s="260"/>
      <c r="AB26" s="260"/>
      <c r="AC26" s="260"/>
      <c r="AD26" s="260"/>
      <c r="AE26" s="260"/>
      <c r="AF26" s="232"/>
      <c r="AG26" s="232"/>
      <c r="AH26" s="220">
        <f>'Individual Parcel Estimate'!E26</f>
        <v>0</v>
      </c>
      <c r="AI26" s="270">
        <f>'Individual Parcel Estimate'!AQ26</f>
        <v>0</v>
      </c>
      <c r="AJ26" s="105"/>
      <c r="AK26" s="105"/>
      <c r="AL26" s="105"/>
      <c r="AM26" s="105"/>
    </row>
    <row r="27" spans="1:39" ht="15">
      <c r="A27" s="220">
        <f>'Individual Parcel Estimate'!A27</f>
        <v>0</v>
      </c>
      <c r="B27" s="220">
        <f>'Individual Parcel Estimate'!B27</f>
        <v>0</v>
      </c>
      <c r="C27" s="220">
        <f>'Individual Parcel Estimate'!C27</f>
        <v>0</v>
      </c>
      <c r="D27" s="359">
        <f>'Individual Parcel Estimate'!D27</f>
        <v>0</v>
      </c>
      <c r="E27" s="260"/>
      <c r="F27" s="260"/>
      <c r="G27" s="271">
        <f>'Individual Parcel Estimate'!T27</f>
        <v>0</v>
      </c>
      <c r="H27" s="260"/>
      <c r="I27" s="316">
        <f>'Individual Parcel Estimate'!Q27</f>
        <v>0</v>
      </c>
      <c r="J27" s="220">
        <f>'Individual Parcel Estimate'!R27</f>
        <v>0</v>
      </c>
      <c r="K27" s="220">
        <f>'Individual Parcel Estimate'!X27</f>
        <v>0</v>
      </c>
      <c r="L27" s="220">
        <f>'Individual Parcel Estimate'!V27</f>
        <v>0</v>
      </c>
      <c r="M27" s="260"/>
      <c r="N27" s="260"/>
      <c r="O27" s="220" t="str">
        <f>IF('Individual Parcel Estimate'!F27&gt;0,"Y","N")</f>
        <v>N</v>
      </c>
      <c r="P27" s="260"/>
      <c r="Q27" s="260"/>
      <c r="R27" s="220" t="str">
        <f>IF('Individual Parcel Estimate'!$AC27&gt;0,"Y","N")</f>
        <v>N</v>
      </c>
      <c r="S27" s="260"/>
      <c r="T27" s="260"/>
      <c r="U27" s="220" t="str">
        <f>IF('Individual Parcel Estimate'!$AI27&gt;0,"Y","N")</f>
        <v>N</v>
      </c>
      <c r="V27" s="260"/>
      <c r="W27" s="260"/>
      <c r="X27" s="260"/>
      <c r="Y27" s="232"/>
      <c r="Z27" s="232"/>
      <c r="AA27" s="260"/>
      <c r="AB27" s="260"/>
      <c r="AC27" s="260"/>
      <c r="AD27" s="260"/>
      <c r="AE27" s="260"/>
      <c r="AF27" s="232"/>
      <c r="AG27" s="232"/>
      <c r="AH27" s="220">
        <f>'Individual Parcel Estimate'!E27</f>
        <v>0</v>
      </c>
      <c r="AI27" s="270">
        <f>'Individual Parcel Estimate'!AQ27</f>
        <v>0</v>
      </c>
      <c r="AJ27" s="105"/>
      <c r="AK27" s="105"/>
      <c r="AL27" s="105"/>
      <c r="AM27" s="105"/>
    </row>
    <row r="28" spans="1:39" ht="15">
      <c r="A28" s="220">
        <f>'Individual Parcel Estimate'!A28</f>
        <v>0</v>
      </c>
      <c r="B28" s="220">
        <f>'Individual Parcel Estimate'!B28</f>
        <v>0</v>
      </c>
      <c r="C28" s="220">
        <f>'Individual Parcel Estimate'!C28</f>
        <v>0</v>
      </c>
      <c r="D28" s="359">
        <f>'Individual Parcel Estimate'!D28</f>
        <v>0</v>
      </c>
      <c r="E28" s="260"/>
      <c r="F28" s="260"/>
      <c r="G28" s="271">
        <f>'Individual Parcel Estimate'!T28</f>
        <v>0</v>
      </c>
      <c r="H28" s="260"/>
      <c r="I28" s="316">
        <f>'Individual Parcel Estimate'!Q28</f>
        <v>0</v>
      </c>
      <c r="J28" s="220">
        <f>'Individual Parcel Estimate'!R28</f>
        <v>0</v>
      </c>
      <c r="K28" s="220">
        <f>'Individual Parcel Estimate'!X28</f>
        <v>0</v>
      </c>
      <c r="L28" s="220">
        <f>'Individual Parcel Estimate'!V28</f>
        <v>0</v>
      </c>
      <c r="M28" s="260"/>
      <c r="N28" s="260"/>
      <c r="O28" s="220" t="str">
        <f>IF('Individual Parcel Estimate'!F28&gt;0,"Y","N")</f>
        <v>N</v>
      </c>
      <c r="P28" s="260"/>
      <c r="Q28" s="260"/>
      <c r="R28" s="220" t="str">
        <f>IF('Individual Parcel Estimate'!$AC28&gt;0,"Y","N")</f>
        <v>N</v>
      </c>
      <c r="S28" s="260"/>
      <c r="T28" s="260"/>
      <c r="U28" s="220" t="str">
        <f>IF('Individual Parcel Estimate'!$AI28&gt;0,"Y","N")</f>
        <v>N</v>
      </c>
      <c r="V28" s="260"/>
      <c r="W28" s="260"/>
      <c r="X28" s="260"/>
      <c r="Y28" s="232"/>
      <c r="Z28" s="232"/>
      <c r="AA28" s="260"/>
      <c r="AB28" s="260"/>
      <c r="AC28" s="260"/>
      <c r="AD28" s="260"/>
      <c r="AE28" s="260"/>
      <c r="AF28" s="232"/>
      <c r="AG28" s="232"/>
      <c r="AH28" s="220">
        <f>'Individual Parcel Estimate'!E28</f>
        <v>0</v>
      </c>
      <c r="AI28" s="270">
        <f>'Individual Parcel Estimate'!AQ28</f>
        <v>0</v>
      </c>
      <c r="AJ28" s="105"/>
      <c r="AK28" s="105"/>
      <c r="AL28" s="105"/>
      <c r="AM28" s="105"/>
    </row>
    <row r="29" spans="1:39" ht="15">
      <c r="A29" s="220">
        <f>'Individual Parcel Estimate'!A29</f>
        <v>0</v>
      </c>
      <c r="B29" s="220">
        <f>'Individual Parcel Estimate'!B29</f>
        <v>0</v>
      </c>
      <c r="C29" s="220">
        <f>'Individual Parcel Estimate'!C29</f>
        <v>0</v>
      </c>
      <c r="D29" s="359">
        <f>'Individual Parcel Estimate'!D29</f>
        <v>0</v>
      </c>
      <c r="E29" s="260"/>
      <c r="F29" s="260"/>
      <c r="G29" s="271">
        <f>'Individual Parcel Estimate'!T29</f>
        <v>0</v>
      </c>
      <c r="H29" s="260"/>
      <c r="I29" s="316">
        <f>'Individual Parcel Estimate'!Q29</f>
        <v>0</v>
      </c>
      <c r="J29" s="220">
        <f>'Individual Parcel Estimate'!R29</f>
        <v>0</v>
      </c>
      <c r="K29" s="220">
        <f>'Individual Parcel Estimate'!X29</f>
        <v>0</v>
      </c>
      <c r="L29" s="220">
        <f>'Individual Parcel Estimate'!V29</f>
        <v>0</v>
      </c>
      <c r="M29" s="260"/>
      <c r="N29" s="260"/>
      <c r="O29" s="220" t="str">
        <f>IF('Individual Parcel Estimate'!F29&gt;0,"Y","N")</f>
        <v>N</v>
      </c>
      <c r="P29" s="260"/>
      <c r="Q29" s="260"/>
      <c r="R29" s="220" t="str">
        <f>IF('Individual Parcel Estimate'!$AC29&gt;0,"Y","N")</f>
        <v>N</v>
      </c>
      <c r="S29" s="260"/>
      <c r="T29" s="260"/>
      <c r="U29" s="220" t="str">
        <f>IF('Individual Parcel Estimate'!$AI29&gt;0,"Y","N")</f>
        <v>N</v>
      </c>
      <c r="V29" s="260"/>
      <c r="W29" s="260"/>
      <c r="X29" s="260"/>
      <c r="Y29" s="232"/>
      <c r="Z29" s="232"/>
      <c r="AA29" s="260"/>
      <c r="AB29" s="260"/>
      <c r="AC29" s="260"/>
      <c r="AD29" s="260"/>
      <c r="AE29" s="260"/>
      <c r="AF29" s="232"/>
      <c r="AG29" s="232"/>
      <c r="AH29" s="220">
        <f>'Individual Parcel Estimate'!E29</f>
        <v>0</v>
      </c>
      <c r="AI29" s="270">
        <f>'Individual Parcel Estimate'!AQ29</f>
        <v>0</v>
      </c>
      <c r="AJ29" s="105"/>
      <c r="AK29" s="105"/>
      <c r="AL29" s="105"/>
      <c r="AM29" s="105"/>
    </row>
    <row r="30" spans="1:39" ht="15">
      <c r="A30" s="220">
        <f>'Individual Parcel Estimate'!A30</f>
        <v>0</v>
      </c>
      <c r="B30" s="220">
        <f>'Individual Parcel Estimate'!B30</f>
        <v>0</v>
      </c>
      <c r="C30" s="220">
        <f>'Individual Parcel Estimate'!C30</f>
        <v>0</v>
      </c>
      <c r="D30" s="359">
        <f>'Individual Parcel Estimate'!D30</f>
        <v>0</v>
      </c>
      <c r="E30" s="260"/>
      <c r="F30" s="260"/>
      <c r="G30" s="271">
        <f>'Individual Parcel Estimate'!T30</f>
        <v>0</v>
      </c>
      <c r="H30" s="260"/>
      <c r="I30" s="316">
        <f>'Individual Parcel Estimate'!Q30</f>
        <v>0</v>
      </c>
      <c r="J30" s="220">
        <f>'Individual Parcel Estimate'!R30</f>
        <v>0</v>
      </c>
      <c r="K30" s="220">
        <f>'Individual Parcel Estimate'!X30</f>
        <v>0</v>
      </c>
      <c r="L30" s="220">
        <f>'Individual Parcel Estimate'!V30</f>
        <v>0</v>
      </c>
      <c r="M30" s="260"/>
      <c r="N30" s="260"/>
      <c r="O30" s="220" t="str">
        <f>IF('Individual Parcel Estimate'!F30&gt;0,"Y","N")</f>
        <v>N</v>
      </c>
      <c r="P30" s="260"/>
      <c r="Q30" s="260"/>
      <c r="R30" s="220" t="str">
        <f>IF('Individual Parcel Estimate'!$AC30&gt;0,"Y","N")</f>
        <v>N</v>
      </c>
      <c r="S30" s="260"/>
      <c r="T30" s="260"/>
      <c r="U30" s="220" t="str">
        <f>IF('Individual Parcel Estimate'!$AI30&gt;0,"Y","N")</f>
        <v>N</v>
      </c>
      <c r="V30" s="260"/>
      <c r="W30" s="260"/>
      <c r="X30" s="260"/>
      <c r="Y30" s="232"/>
      <c r="Z30" s="232"/>
      <c r="AA30" s="260"/>
      <c r="AB30" s="260"/>
      <c r="AC30" s="260"/>
      <c r="AD30" s="260"/>
      <c r="AE30" s="260"/>
      <c r="AF30" s="232"/>
      <c r="AG30" s="232"/>
      <c r="AH30" s="220">
        <f>'Individual Parcel Estimate'!E30</f>
        <v>0</v>
      </c>
      <c r="AI30" s="270">
        <f>'Individual Parcel Estimate'!AQ30</f>
        <v>0</v>
      </c>
      <c r="AJ30" s="105"/>
      <c r="AK30" s="105"/>
      <c r="AL30" s="105"/>
      <c r="AM30" s="105"/>
    </row>
    <row r="31" spans="1:39" ht="15">
      <c r="A31" s="220">
        <f>'Individual Parcel Estimate'!A31</f>
        <v>0</v>
      </c>
      <c r="B31" s="220">
        <f>'Individual Parcel Estimate'!B31</f>
        <v>0</v>
      </c>
      <c r="C31" s="220">
        <f>'Individual Parcel Estimate'!C31</f>
        <v>0</v>
      </c>
      <c r="D31" s="359">
        <f>'Individual Parcel Estimate'!D31</f>
        <v>0</v>
      </c>
      <c r="E31" s="260"/>
      <c r="F31" s="260"/>
      <c r="G31" s="271">
        <f>'Individual Parcel Estimate'!T31</f>
        <v>0</v>
      </c>
      <c r="H31" s="260"/>
      <c r="I31" s="316">
        <f>'Individual Parcel Estimate'!Q31</f>
        <v>0</v>
      </c>
      <c r="J31" s="220">
        <f>'Individual Parcel Estimate'!R31</f>
        <v>0</v>
      </c>
      <c r="K31" s="220">
        <f>'Individual Parcel Estimate'!X31</f>
        <v>0</v>
      </c>
      <c r="L31" s="220">
        <f>'Individual Parcel Estimate'!V31</f>
        <v>0</v>
      </c>
      <c r="M31" s="260"/>
      <c r="N31" s="260"/>
      <c r="O31" s="220" t="str">
        <f>IF('Individual Parcel Estimate'!F31&gt;0,"Y","N")</f>
        <v>N</v>
      </c>
      <c r="P31" s="260"/>
      <c r="Q31" s="260"/>
      <c r="R31" s="220" t="str">
        <f>IF('Individual Parcel Estimate'!$AC31&gt;0,"Y","N")</f>
        <v>N</v>
      </c>
      <c r="S31" s="260"/>
      <c r="T31" s="260"/>
      <c r="U31" s="220" t="str">
        <f>IF('Individual Parcel Estimate'!$AI31&gt;0,"Y","N")</f>
        <v>N</v>
      </c>
      <c r="V31" s="260"/>
      <c r="W31" s="260"/>
      <c r="X31" s="260"/>
      <c r="Y31" s="232"/>
      <c r="Z31" s="232"/>
      <c r="AA31" s="260"/>
      <c r="AB31" s="260"/>
      <c r="AC31" s="260"/>
      <c r="AD31" s="260"/>
      <c r="AE31" s="260"/>
      <c r="AF31" s="232"/>
      <c r="AG31" s="232"/>
      <c r="AH31" s="220">
        <f>'Individual Parcel Estimate'!E31</f>
        <v>0</v>
      </c>
      <c r="AI31" s="270">
        <f>'Individual Parcel Estimate'!AQ31</f>
        <v>0</v>
      </c>
      <c r="AJ31" s="105"/>
      <c r="AK31" s="105"/>
      <c r="AL31" s="105"/>
      <c r="AM31" s="105"/>
    </row>
    <row r="32" spans="1:39" ht="15">
      <c r="A32" s="220">
        <f>'Individual Parcel Estimate'!A32</f>
        <v>0</v>
      </c>
      <c r="B32" s="220">
        <f>'Individual Parcel Estimate'!B32</f>
        <v>0</v>
      </c>
      <c r="C32" s="220">
        <f>'Individual Parcel Estimate'!C32</f>
        <v>0</v>
      </c>
      <c r="D32" s="359">
        <f>'Individual Parcel Estimate'!D32</f>
        <v>0</v>
      </c>
      <c r="E32" s="260"/>
      <c r="F32" s="260"/>
      <c r="G32" s="271">
        <f>'Individual Parcel Estimate'!T32</f>
        <v>0</v>
      </c>
      <c r="H32" s="260"/>
      <c r="I32" s="316">
        <f>'Individual Parcel Estimate'!Q32</f>
        <v>0</v>
      </c>
      <c r="J32" s="220">
        <f>'Individual Parcel Estimate'!R32</f>
        <v>0</v>
      </c>
      <c r="K32" s="220">
        <f>'Individual Parcel Estimate'!X32</f>
        <v>0</v>
      </c>
      <c r="L32" s="220">
        <f>'Individual Parcel Estimate'!V32</f>
        <v>0</v>
      </c>
      <c r="M32" s="260"/>
      <c r="N32" s="260"/>
      <c r="O32" s="220" t="str">
        <f>IF('Individual Parcel Estimate'!F32&gt;0,"Y","N")</f>
        <v>N</v>
      </c>
      <c r="P32" s="260"/>
      <c r="Q32" s="260"/>
      <c r="R32" s="220" t="str">
        <f>IF('Individual Parcel Estimate'!$AC32&gt;0,"Y","N")</f>
        <v>N</v>
      </c>
      <c r="S32" s="260"/>
      <c r="T32" s="260"/>
      <c r="U32" s="220" t="str">
        <f>IF('Individual Parcel Estimate'!$AI32&gt;0,"Y","N")</f>
        <v>N</v>
      </c>
      <c r="V32" s="260"/>
      <c r="W32" s="260"/>
      <c r="X32" s="260"/>
      <c r="Y32" s="232"/>
      <c r="Z32" s="232"/>
      <c r="AA32" s="260"/>
      <c r="AB32" s="260"/>
      <c r="AC32" s="260"/>
      <c r="AD32" s="260"/>
      <c r="AE32" s="260"/>
      <c r="AF32" s="232"/>
      <c r="AG32" s="232"/>
      <c r="AH32" s="220">
        <f>'Individual Parcel Estimate'!E32</f>
        <v>0</v>
      </c>
      <c r="AI32" s="270">
        <f>'Individual Parcel Estimate'!AQ32</f>
        <v>0</v>
      </c>
      <c r="AJ32" s="105"/>
      <c r="AK32" s="105"/>
      <c r="AL32" s="105"/>
      <c r="AM32" s="105"/>
    </row>
    <row r="33" spans="1:39" ht="15">
      <c r="A33" s="220">
        <f>'Individual Parcel Estimate'!A33</f>
        <v>0</v>
      </c>
      <c r="B33" s="220">
        <f>'Individual Parcel Estimate'!B33</f>
        <v>0</v>
      </c>
      <c r="C33" s="220">
        <f>'Individual Parcel Estimate'!C33</f>
        <v>0</v>
      </c>
      <c r="D33" s="359">
        <f>'Individual Parcel Estimate'!D33</f>
        <v>0</v>
      </c>
      <c r="E33" s="260"/>
      <c r="F33" s="260"/>
      <c r="G33" s="271">
        <f>'Individual Parcel Estimate'!T33</f>
        <v>0</v>
      </c>
      <c r="H33" s="260"/>
      <c r="I33" s="316">
        <f>'Individual Parcel Estimate'!Q33</f>
        <v>0</v>
      </c>
      <c r="J33" s="220">
        <f>'Individual Parcel Estimate'!R33</f>
        <v>0</v>
      </c>
      <c r="K33" s="220">
        <f>'Individual Parcel Estimate'!X33</f>
        <v>0</v>
      </c>
      <c r="L33" s="220">
        <f>'Individual Parcel Estimate'!V33</f>
        <v>0</v>
      </c>
      <c r="M33" s="260"/>
      <c r="N33" s="260"/>
      <c r="O33" s="220" t="str">
        <f>IF('Individual Parcel Estimate'!F33&gt;0,"Y","N")</f>
        <v>N</v>
      </c>
      <c r="P33" s="260"/>
      <c r="Q33" s="260"/>
      <c r="R33" s="220" t="str">
        <f>IF('Individual Parcel Estimate'!$AC33&gt;0,"Y","N")</f>
        <v>N</v>
      </c>
      <c r="S33" s="260"/>
      <c r="T33" s="260"/>
      <c r="U33" s="220" t="str">
        <f>IF('Individual Parcel Estimate'!$AI33&gt;0,"Y","N")</f>
        <v>N</v>
      </c>
      <c r="V33" s="260"/>
      <c r="W33" s="260"/>
      <c r="X33" s="260"/>
      <c r="Y33" s="232"/>
      <c r="Z33" s="232"/>
      <c r="AA33" s="260"/>
      <c r="AB33" s="260"/>
      <c r="AC33" s="260"/>
      <c r="AD33" s="260"/>
      <c r="AE33" s="260"/>
      <c r="AF33" s="232"/>
      <c r="AG33" s="232"/>
      <c r="AH33" s="220">
        <f>'Individual Parcel Estimate'!E33</f>
        <v>0</v>
      </c>
      <c r="AI33" s="270">
        <f>'Individual Parcel Estimate'!AQ33</f>
        <v>0</v>
      </c>
      <c r="AJ33" s="105"/>
      <c r="AK33" s="105"/>
      <c r="AL33" s="105"/>
      <c r="AM33" s="105"/>
    </row>
    <row r="34" spans="1:39" ht="15">
      <c r="A34" s="220">
        <f>'Individual Parcel Estimate'!A34</f>
        <v>0</v>
      </c>
      <c r="B34" s="220">
        <f>'Individual Parcel Estimate'!B34</f>
        <v>0</v>
      </c>
      <c r="C34" s="220">
        <f>'Individual Parcel Estimate'!C34</f>
        <v>0</v>
      </c>
      <c r="D34" s="359">
        <f>'Individual Parcel Estimate'!D34</f>
        <v>0</v>
      </c>
      <c r="E34" s="260"/>
      <c r="F34" s="260"/>
      <c r="G34" s="271">
        <f>'Individual Parcel Estimate'!T34</f>
        <v>0</v>
      </c>
      <c r="H34" s="260"/>
      <c r="I34" s="316">
        <f>'Individual Parcel Estimate'!Q34</f>
        <v>0</v>
      </c>
      <c r="J34" s="220">
        <f>'Individual Parcel Estimate'!R34</f>
        <v>0</v>
      </c>
      <c r="K34" s="220">
        <f>'Individual Parcel Estimate'!X34</f>
        <v>0</v>
      </c>
      <c r="L34" s="220">
        <f>'Individual Parcel Estimate'!V34</f>
        <v>0</v>
      </c>
      <c r="M34" s="260"/>
      <c r="N34" s="260"/>
      <c r="O34" s="220" t="str">
        <f>IF('Individual Parcel Estimate'!F34&gt;0,"Y","N")</f>
        <v>N</v>
      </c>
      <c r="P34" s="260"/>
      <c r="Q34" s="260"/>
      <c r="R34" s="220" t="str">
        <f>IF('Individual Parcel Estimate'!$AC34&gt;0,"Y","N")</f>
        <v>N</v>
      </c>
      <c r="S34" s="260"/>
      <c r="T34" s="260"/>
      <c r="U34" s="220" t="str">
        <f>IF('Individual Parcel Estimate'!$AI34&gt;0,"Y","N")</f>
        <v>N</v>
      </c>
      <c r="V34" s="260"/>
      <c r="W34" s="260"/>
      <c r="X34" s="260"/>
      <c r="Y34" s="232"/>
      <c r="Z34" s="232"/>
      <c r="AA34" s="260"/>
      <c r="AB34" s="260"/>
      <c r="AC34" s="260"/>
      <c r="AD34" s="260"/>
      <c r="AE34" s="260"/>
      <c r="AF34" s="232"/>
      <c r="AG34" s="232"/>
      <c r="AH34" s="220">
        <f>'Individual Parcel Estimate'!E34</f>
        <v>0</v>
      </c>
      <c r="AI34" s="270">
        <f>'Individual Parcel Estimate'!AQ34</f>
        <v>0</v>
      </c>
      <c r="AJ34" s="105"/>
      <c r="AK34" s="105"/>
      <c r="AL34" s="105"/>
      <c r="AM34" s="105"/>
    </row>
    <row r="35" spans="1:39" ht="15">
      <c r="A35" s="220">
        <f>'Individual Parcel Estimate'!A35</f>
        <v>0</v>
      </c>
      <c r="B35" s="220">
        <f>'Individual Parcel Estimate'!B35</f>
        <v>0</v>
      </c>
      <c r="C35" s="220">
        <f>'Individual Parcel Estimate'!C35</f>
        <v>0</v>
      </c>
      <c r="D35" s="359">
        <f>'Individual Parcel Estimate'!D35</f>
        <v>0</v>
      </c>
      <c r="E35" s="260"/>
      <c r="F35" s="260"/>
      <c r="G35" s="271">
        <f>'Individual Parcel Estimate'!T35</f>
        <v>0</v>
      </c>
      <c r="H35" s="260"/>
      <c r="I35" s="316">
        <f>'Individual Parcel Estimate'!Q35</f>
        <v>0</v>
      </c>
      <c r="J35" s="220">
        <f>'Individual Parcel Estimate'!R35</f>
        <v>0</v>
      </c>
      <c r="K35" s="220">
        <f>'Individual Parcel Estimate'!X35</f>
        <v>0</v>
      </c>
      <c r="L35" s="220">
        <f>'Individual Parcel Estimate'!V35</f>
        <v>0</v>
      </c>
      <c r="M35" s="260"/>
      <c r="N35" s="260"/>
      <c r="O35" s="220" t="str">
        <f>IF('Individual Parcel Estimate'!F35&gt;0,"Y","N")</f>
        <v>N</v>
      </c>
      <c r="P35" s="260"/>
      <c r="Q35" s="260"/>
      <c r="R35" s="220" t="str">
        <f>IF('Individual Parcel Estimate'!$AC35&gt;0,"Y","N")</f>
        <v>N</v>
      </c>
      <c r="S35" s="260"/>
      <c r="T35" s="260"/>
      <c r="U35" s="220" t="str">
        <f>IF('Individual Parcel Estimate'!$AI35&gt;0,"Y","N")</f>
        <v>N</v>
      </c>
      <c r="V35" s="260"/>
      <c r="W35" s="260"/>
      <c r="X35" s="260"/>
      <c r="Y35" s="232"/>
      <c r="Z35" s="232"/>
      <c r="AA35" s="260"/>
      <c r="AB35" s="260"/>
      <c r="AC35" s="260"/>
      <c r="AD35" s="260"/>
      <c r="AE35" s="260"/>
      <c r="AF35" s="232"/>
      <c r="AG35" s="232"/>
      <c r="AH35" s="220">
        <f>'Individual Parcel Estimate'!E35</f>
        <v>0</v>
      </c>
      <c r="AI35" s="270">
        <f>'Individual Parcel Estimate'!AQ35</f>
        <v>0</v>
      </c>
      <c r="AJ35" s="105"/>
      <c r="AK35" s="105"/>
      <c r="AL35" s="105"/>
      <c r="AM35" s="105"/>
    </row>
    <row r="36" spans="1:39" ht="15">
      <c r="A36" s="220">
        <f>'Individual Parcel Estimate'!A36</f>
        <v>0</v>
      </c>
      <c r="B36" s="220">
        <f>'Individual Parcel Estimate'!B36</f>
        <v>0</v>
      </c>
      <c r="C36" s="220">
        <f>'Individual Parcel Estimate'!C36</f>
        <v>0</v>
      </c>
      <c r="D36" s="359">
        <f>'Individual Parcel Estimate'!D36</f>
        <v>0</v>
      </c>
      <c r="E36" s="260"/>
      <c r="F36" s="260"/>
      <c r="G36" s="271">
        <f>'Individual Parcel Estimate'!T36</f>
        <v>0</v>
      </c>
      <c r="H36" s="260"/>
      <c r="I36" s="316">
        <f>'Individual Parcel Estimate'!Q36</f>
        <v>0</v>
      </c>
      <c r="J36" s="220">
        <f>'Individual Parcel Estimate'!R36</f>
        <v>0</v>
      </c>
      <c r="K36" s="220">
        <f>'Individual Parcel Estimate'!X36</f>
        <v>0</v>
      </c>
      <c r="L36" s="220">
        <f>'Individual Parcel Estimate'!V36</f>
        <v>0</v>
      </c>
      <c r="M36" s="260"/>
      <c r="N36" s="260"/>
      <c r="O36" s="220" t="str">
        <f>IF('Individual Parcel Estimate'!F36&gt;0,"Y","N")</f>
        <v>N</v>
      </c>
      <c r="P36" s="260"/>
      <c r="Q36" s="260"/>
      <c r="R36" s="220" t="str">
        <f>IF('Individual Parcel Estimate'!$AC36&gt;0,"Y","N")</f>
        <v>N</v>
      </c>
      <c r="S36" s="260"/>
      <c r="T36" s="260"/>
      <c r="U36" s="220" t="str">
        <f>IF('Individual Parcel Estimate'!$AI36&gt;0,"Y","N")</f>
        <v>N</v>
      </c>
      <c r="V36" s="260"/>
      <c r="W36" s="260"/>
      <c r="X36" s="260"/>
      <c r="Y36" s="232"/>
      <c r="Z36" s="232"/>
      <c r="AA36" s="260"/>
      <c r="AB36" s="260"/>
      <c r="AC36" s="260"/>
      <c r="AD36" s="260"/>
      <c r="AE36" s="260"/>
      <c r="AF36" s="232"/>
      <c r="AG36" s="232"/>
      <c r="AH36" s="220">
        <f>'Individual Parcel Estimate'!E36</f>
        <v>0</v>
      </c>
      <c r="AI36" s="270">
        <f>'Individual Parcel Estimate'!AQ36</f>
        <v>0</v>
      </c>
      <c r="AJ36" s="105"/>
      <c r="AK36" s="105"/>
      <c r="AL36" s="105"/>
      <c r="AM36" s="105"/>
    </row>
    <row r="37" spans="1:39" ht="15">
      <c r="A37" s="220">
        <f>'Individual Parcel Estimate'!A37</f>
        <v>0</v>
      </c>
      <c r="B37" s="220">
        <f>'Individual Parcel Estimate'!B37</f>
        <v>0</v>
      </c>
      <c r="C37" s="220">
        <f>'Individual Parcel Estimate'!C37</f>
        <v>0</v>
      </c>
      <c r="D37" s="359">
        <f>'Individual Parcel Estimate'!D37</f>
        <v>0</v>
      </c>
      <c r="E37" s="260"/>
      <c r="F37" s="260"/>
      <c r="G37" s="271">
        <f>'Individual Parcel Estimate'!T37</f>
        <v>0</v>
      </c>
      <c r="H37" s="260"/>
      <c r="I37" s="316">
        <f>'Individual Parcel Estimate'!Q37</f>
        <v>0</v>
      </c>
      <c r="J37" s="220">
        <f>'Individual Parcel Estimate'!R37</f>
        <v>0</v>
      </c>
      <c r="K37" s="220">
        <f>'Individual Parcel Estimate'!X37</f>
        <v>0</v>
      </c>
      <c r="L37" s="220">
        <f>'Individual Parcel Estimate'!V37</f>
        <v>0</v>
      </c>
      <c r="M37" s="260"/>
      <c r="N37" s="260"/>
      <c r="O37" s="220" t="str">
        <f>IF('Individual Parcel Estimate'!F37&gt;0,"Y","N")</f>
        <v>N</v>
      </c>
      <c r="P37" s="260"/>
      <c r="Q37" s="260"/>
      <c r="R37" s="220" t="str">
        <f>IF('Individual Parcel Estimate'!$AC37&gt;0,"Y","N")</f>
        <v>N</v>
      </c>
      <c r="S37" s="260"/>
      <c r="T37" s="260"/>
      <c r="U37" s="220" t="str">
        <f>IF('Individual Parcel Estimate'!$AI37&gt;0,"Y","N")</f>
        <v>N</v>
      </c>
      <c r="V37" s="260"/>
      <c r="W37" s="260"/>
      <c r="X37" s="260"/>
      <c r="Y37" s="232"/>
      <c r="Z37" s="232"/>
      <c r="AA37" s="260"/>
      <c r="AB37" s="260"/>
      <c r="AC37" s="260"/>
      <c r="AD37" s="260"/>
      <c r="AE37" s="260"/>
      <c r="AF37" s="232"/>
      <c r="AG37" s="232"/>
      <c r="AH37" s="220">
        <f>'Individual Parcel Estimate'!E37</f>
        <v>0</v>
      </c>
      <c r="AI37" s="270">
        <f>'Individual Parcel Estimate'!AQ37</f>
        <v>0</v>
      </c>
      <c r="AJ37" s="105"/>
      <c r="AK37" s="105"/>
      <c r="AL37" s="105"/>
      <c r="AM37" s="105"/>
    </row>
    <row r="38" spans="1:39" ht="15">
      <c r="A38" s="220">
        <f>'Individual Parcel Estimate'!A38</f>
        <v>0</v>
      </c>
      <c r="B38" s="220">
        <f>'Individual Parcel Estimate'!B38</f>
        <v>0</v>
      </c>
      <c r="C38" s="220">
        <f>'Individual Parcel Estimate'!C38</f>
        <v>0</v>
      </c>
      <c r="D38" s="359">
        <f>'Individual Parcel Estimate'!D38</f>
        <v>0</v>
      </c>
      <c r="E38" s="260"/>
      <c r="F38" s="260"/>
      <c r="G38" s="271">
        <f>'Individual Parcel Estimate'!T38</f>
        <v>0</v>
      </c>
      <c r="H38" s="260"/>
      <c r="I38" s="316">
        <f>'Individual Parcel Estimate'!Q38</f>
        <v>0</v>
      </c>
      <c r="J38" s="220">
        <f>'Individual Parcel Estimate'!R38</f>
        <v>0</v>
      </c>
      <c r="K38" s="220">
        <f>'Individual Parcel Estimate'!X38</f>
        <v>0</v>
      </c>
      <c r="L38" s="220">
        <f>'Individual Parcel Estimate'!V38</f>
        <v>0</v>
      </c>
      <c r="M38" s="260"/>
      <c r="N38" s="260"/>
      <c r="O38" s="220" t="str">
        <f>IF('Individual Parcel Estimate'!F38&gt;0,"Y","N")</f>
        <v>N</v>
      </c>
      <c r="P38" s="260"/>
      <c r="Q38" s="260"/>
      <c r="R38" s="220" t="str">
        <f>IF('Individual Parcel Estimate'!$AC38&gt;0,"Y","N")</f>
        <v>N</v>
      </c>
      <c r="S38" s="260"/>
      <c r="T38" s="260"/>
      <c r="U38" s="220" t="str">
        <f>IF('Individual Parcel Estimate'!$AI38&gt;0,"Y","N")</f>
        <v>N</v>
      </c>
      <c r="V38" s="260"/>
      <c r="W38" s="260"/>
      <c r="X38" s="260"/>
      <c r="Y38" s="232"/>
      <c r="Z38" s="232"/>
      <c r="AA38" s="260"/>
      <c r="AB38" s="260"/>
      <c r="AC38" s="260"/>
      <c r="AD38" s="260"/>
      <c r="AE38" s="260"/>
      <c r="AF38" s="232"/>
      <c r="AG38" s="232"/>
      <c r="AH38" s="220">
        <f>'Individual Parcel Estimate'!E38</f>
        <v>0</v>
      </c>
      <c r="AI38" s="270">
        <f>'Individual Parcel Estimate'!AQ38</f>
        <v>0</v>
      </c>
      <c r="AJ38" s="105"/>
      <c r="AK38" s="105"/>
      <c r="AL38" s="105"/>
      <c r="AM38" s="105"/>
    </row>
    <row r="39" spans="1:39" ht="15">
      <c r="A39" s="220">
        <f>'Individual Parcel Estimate'!A39</f>
        <v>0</v>
      </c>
      <c r="B39" s="220">
        <f>'Individual Parcel Estimate'!B39</f>
        <v>0</v>
      </c>
      <c r="C39" s="220">
        <f>'Individual Parcel Estimate'!C39</f>
        <v>0</v>
      </c>
      <c r="D39" s="359">
        <f>'Individual Parcel Estimate'!D39</f>
        <v>0</v>
      </c>
      <c r="E39" s="260"/>
      <c r="F39" s="260"/>
      <c r="G39" s="271">
        <f>'Individual Parcel Estimate'!T39</f>
        <v>0</v>
      </c>
      <c r="H39" s="260"/>
      <c r="I39" s="316">
        <f>'Individual Parcel Estimate'!Q39</f>
        <v>0</v>
      </c>
      <c r="J39" s="220">
        <f>'Individual Parcel Estimate'!R39</f>
        <v>0</v>
      </c>
      <c r="K39" s="220">
        <f>'Individual Parcel Estimate'!X39</f>
        <v>0</v>
      </c>
      <c r="L39" s="220">
        <f>'Individual Parcel Estimate'!V39</f>
        <v>0</v>
      </c>
      <c r="M39" s="260"/>
      <c r="N39" s="260"/>
      <c r="O39" s="220" t="str">
        <f>IF('Individual Parcel Estimate'!F39&gt;0,"Y","N")</f>
        <v>N</v>
      </c>
      <c r="P39" s="260"/>
      <c r="Q39" s="260"/>
      <c r="R39" s="220" t="str">
        <f>IF('Individual Parcel Estimate'!$AC39&gt;0,"Y","N")</f>
        <v>N</v>
      </c>
      <c r="S39" s="260"/>
      <c r="T39" s="260"/>
      <c r="U39" s="220" t="str">
        <f>IF('Individual Parcel Estimate'!$AI39&gt;0,"Y","N")</f>
        <v>N</v>
      </c>
      <c r="V39" s="260"/>
      <c r="W39" s="260"/>
      <c r="X39" s="260"/>
      <c r="Y39" s="232"/>
      <c r="Z39" s="232"/>
      <c r="AA39" s="260"/>
      <c r="AB39" s="260"/>
      <c r="AC39" s="260"/>
      <c r="AD39" s="260"/>
      <c r="AE39" s="260"/>
      <c r="AF39" s="232"/>
      <c r="AG39" s="232"/>
      <c r="AH39" s="220">
        <f>'Individual Parcel Estimate'!E39</f>
        <v>0</v>
      </c>
      <c r="AI39" s="270">
        <f>'Individual Parcel Estimate'!AQ39</f>
        <v>0</v>
      </c>
      <c r="AJ39" s="105"/>
      <c r="AK39" s="105"/>
      <c r="AL39" s="105"/>
      <c r="AM39" s="105"/>
    </row>
    <row r="40" spans="1:39" ht="15">
      <c r="A40" s="220">
        <f>'Individual Parcel Estimate'!A40</f>
        <v>0</v>
      </c>
      <c r="B40" s="220">
        <f>'Individual Parcel Estimate'!B40</f>
        <v>0</v>
      </c>
      <c r="C40" s="220">
        <f>'Individual Parcel Estimate'!C40</f>
        <v>0</v>
      </c>
      <c r="D40" s="359">
        <f>'Individual Parcel Estimate'!D40</f>
        <v>0</v>
      </c>
      <c r="E40" s="260"/>
      <c r="F40" s="260"/>
      <c r="G40" s="271">
        <f>'Individual Parcel Estimate'!T40</f>
        <v>0</v>
      </c>
      <c r="H40" s="260"/>
      <c r="I40" s="316">
        <f>'Individual Parcel Estimate'!Q40</f>
        <v>0</v>
      </c>
      <c r="J40" s="220">
        <f>'Individual Parcel Estimate'!R40</f>
        <v>0</v>
      </c>
      <c r="K40" s="220">
        <f>'Individual Parcel Estimate'!X40</f>
        <v>0</v>
      </c>
      <c r="L40" s="220">
        <f>'Individual Parcel Estimate'!V40</f>
        <v>0</v>
      </c>
      <c r="M40" s="260"/>
      <c r="N40" s="260"/>
      <c r="O40" s="220" t="str">
        <f>IF('Individual Parcel Estimate'!F40&gt;0,"Y","N")</f>
        <v>N</v>
      </c>
      <c r="P40" s="260"/>
      <c r="Q40" s="260"/>
      <c r="R40" s="220" t="str">
        <f>IF('Individual Parcel Estimate'!$AC40&gt;0,"Y","N")</f>
        <v>N</v>
      </c>
      <c r="S40" s="260"/>
      <c r="T40" s="260"/>
      <c r="U40" s="220" t="str">
        <f>IF('Individual Parcel Estimate'!$AI40&gt;0,"Y","N")</f>
        <v>N</v>
      </c>
      <c r="V40" s="260"/>
      <c r="W40" s="260"/>
      <c r="X40" s="260"/>
      <c r="Y40" s="232"/>
      <c r="Z40" s="232"/>
      <c r="AA40" s="260"/>
      <c r="AB40" s="260"/>
      <c r="AC40" s="260"/>
      <c r="AD40" s="260"/>
      <c r="AE40" s="260"/>
      <c r="AF40" s="232"/>
      <c r="AG40" s="232"/>
      <c r="AH40" s="220">
        <f>'Individual Parcel Estimate'!E40</f>
        <v>0</v>
      </c>
      <c r="AI40" s="270">
        <f>'Individual Parcel Estimate'!AQ40</f>
        <v>0</v>
      </c>
      <c r="AJ40" s="105"/>
      <c r="AK40" s="105"/>
      <c r="AL40" s="105"/>
      <c r="AM40" s="105"/>
    </row>
    <row r="41" spans="1:39" ht="15">
      <c r="A41" s="220">
        <f>'Individual Parcel Estimate'!A41</f>
        <v>0</v>
      </c>
      <c r="B41" s="220">
        <f>'Individual Parcel Estimate'!B41</f>
        <v>0</v>
      </c>
      <c r="C41" s="220">
        <f>'Individual Parcel Estimate'!C41</f>
        <v>0</v>
      </c>
      <c r="D41" s="359">
        <f>'Individual Parcel Estimate'!D41</f>
        <v>0</v>
      </c>
      <c r="E41" s="260"/>
      <c r="F41" s="260"/>
      <c r="G41" s="271">
        <f>'Individual Parcel Estimate'!T41</f>
        <v>0</v>
      </c>
      <c r="H41" s="260"/>
      <c r="I41" s="316">
        <f>'Individual Parcel Estimate'!Q41</f>
        <v>0</v>
      </c>
      <c r="J41" s="220">
        <f>'Individual Parcel Estimate'!R41</f>
        <v>0</v>
      </c>
      <c r="K41" s="220">
        <f>'Individual Parcel Estimate'!X41</f>
        <v>0</v>
      </c>
      <c r="L41" s="220">
        <f>'Individual Parcel Estimate'!V41</f>
        <v>0</v>
      </c>
      <c r="M41" s="260"/>
      <c r="N41" s="260"/>
      <c r="O41" s="220" t="str">
        <f>IF('Individual Parcel Estimate'!F41&gt;0,"Y","N")</f>
        <v>N</v>
      </c>
      <c r="P41" s="260"/>
      <c r="Q41" s="260"/>
      <c r="R41" s="220" t="str">
        <f>IF('Individual Parcel Estimate'!$AC41&gt;0,"Y","N")</f>
        <v>N</v>
      </c>
      <c r="S41" s="260"/>
      <c r="T41" s="260"/>
      <c r="U41" s="220" t="str">
        <f>IF('Individual Parcel Estimate'!$AI41&gt;0,"Y","N")</f>
        <v>N</v>
      </c>
      <c r="V41" s="260"/>
      <c r="W41" s="260"/>
      <c r="X41" s="260"/>
      <c r="Y41" s="232"/>
      <c r="Z41" s="232"/>
      <c r="AA41" s="260"/>
      <c r="AB41" s="260"/>
      <c r="AC41" s="260"/>
      <c r="AD41" s="260"/>
      <c r="AE41" s="260"/>
      <c r="AF41" s="232"/>
      <c r="AG41" s="232"/>
      <c r="AH41" s="220">
        <f>'Individual Parcel Estimate'!E41</f>
        <v>0</v>
      </c>
      <c r="AI41" s="270">
        <f>'Individual Parcel Estimate'!AQ41</f>
        <v>0</v>
      </c>
      <c r="AJ41" s="105"/>
      <c r="AK41" s="105"/>
      <c r="AL41" s="105"/>
      <c r="AM41" s="105"/>
    </row>
    <row r="42" spans="1:39" ht="15">
      <c r="A42" s="220">
        <f>'Individual Parcel Estimate'!A42</f>
        <v>0</v>
      </c>
      <c r="B42" s="220">
        <f>'Individual Parcel Estimate'!B42</f>
        <v>0</v>
      </c>
      <c r="C42" s="220">
        <f>'Individual Parcel Estimate'!C42</f>
        <v>0</v>
      </c>
      <c r="D42" s="359">
        <f>'Individual Parcel Estimate'!D42</f>
        <v>0</v>
      </c>
      <c r="E42" s="260"/>
      <c r="F42" s="260"/>
      <c r="G42" s="271">
        <f>'Individual Parcel Estimate'!T42</f>
        <v>0</v>
      </c>
      <c r="H42" s="260"/>
      <c r="I42" s="316">
        <f>'Individual Parcel Estimate'!Q42</f>
        <v>0</v>
      </c>
      <c r="J42" s="220">
        <f>'Individual Parcel Estimate'!R42</f>
        <v>0</v>
      </c>
      <c r="K42" s="220">
        <f>'Individual Parcel Estimate'!X42</f>
        <v>0</v>
      </c>
      <c r="L42" s="220">
        <f>'Individual Parcel Estimate'!V42</f>
        <v>0</v>
      </c>
      <c r="M42" s="260"/>
      <c r="N42" s="260"/>
      <c r="O42" s="220" t="str">
        <f>IF('Individual Parcel Estimate'!F42&gt;0,"Y","N")</f>
        <v>N</v>
      </c>
      <c r="P42" s="260"/>
      <c r="Q42" s="260"/>
      <c r="R42" s="220" t="str">
        <f>IF('Individual Parcel Estimate'!$AC42&gt;0,"Y","N")</f>
        <v>N</v>
      </c>
      <c r="S42" s="260"/>
      <c r="T42" s="260"/>
      <c r="U42" s="220" t="str">
        <f>IF('Individual Parcel Estimate'!$AI42&gt;0,"Y","N")</f>
        <v>N</v>
      </c>
      <c r="V42" s="260"/>
      <c r="W42" s="260"/>
      <c r="X42" s="260"/>
      <c r="Y42" s="232"/>
      <c r="Z42" s="232"/>
      <c r="AA42" s="260"/>
      <c r="AB42" s="260"/>
      <c r="AC42" s="260"/>
      <c r="AD42" s="260"/>
      <c r="AE42" s="260"/>
      <c r="AF42" s="232"/>
      <c r="AG42" s="232"/>
      <c r="AH42" s="220">
        <f>'Individual Parcel Estimate'!E42</f>
        <v>0</v>
      </c>
      <c r="AI42" s="270">
        <f>'Individual Parcel Estimate'!AQ42</f>
        <v>0</v>
      </c>
      <c r="AJ42" s="105"/>
      <c r="AK42" s="105"/>
      <c r="AL42" s="105"/>
      <c r="AM42" s="105"/>
    </row>
    <row r="43" spans="1:39" ht="15">
      <c r="A43" s="220">
        <f>'Individual Parcel Estimate'!A43</f>
        <v>0</v>
      </c>
      <c r="B43" s="220">
        <f>'Individual Parcel Estimate'!B43</f>
        <v>0</v>
      </c>
      <c r="C43" s="220">
        <f>'Individual Parcel Estimate'!C43</f>
        <v>0</v>
      </c>
      <c r="D43" s="359">
        <f>'Individual Parcel Estimate'!D43</f>
        <v>0</v>
      </c>
      <c r="E43" s="260"/>
      <c r="F43" s="260"/>
      <c r="G43" s="271">
        <f>'Individual Parcel Estimate'!T43</f>
        <v>0</v>
      </c>
      <c r="H43" s="260"/>
      <c r="I43" s="316">
        <f>'Individual Parcel Estimate'!Q43</f>
        <v>0</v>
      </c>
      <c r="J43" s="220">
        <f>'Individual Parcel Estimate'!R43</f>
        <v>0</v>
      </c>
      <c r="K43" s="220">
        <f>'Individual Parcel Estimate'!X43</f>
        <v>0</v>
      </c>
      <c r="L43" s="220">
        <f>'Individual Parcel Estimate'!V43</f>
        <v>0</v>
      </c>
      <c r="M43" s="260"/>
      <c r="N43" s="260"/>
      <c r="O43" s="220" t="str">
        <f>IF('Individual Parcel Estimate'!F43&gt;0,"Y","N")</f>
        <v>N</v>
      </c>
      <c r="P43" s="260"/>
      <c r="Q43" s="260"/>
      <c r="R43" s="220" t="str">
        <f>IF('Individual Parcel Estimate'!$AC43&gt;0,"Y","N")</f>
        <v>N</v>
      </c>
      <c r="S43" s="260"/>
      <c r="T43" s="260"/>
      <c r="U43" s="220" t="str">
        <f>IF('Individual Parcel Estimate'!$AI43&gt;0,"Y","N")</f>
        <v>N</v>
      </c>
      <c r="V43" s="260"/>
      <c r="W43" s="260"/>
      <c r="X43" s="260"/>
      <c r="Y43" s="232"/>
      <c r="Z43" s="232"/>
      <c r="AA43" s="260"/>
      <c r="AB43" s="260"/>
      <c r="AC43" s="260"/>
      <c r="AD43" s="260"/>
      <c r="AE43" s="260"/>
      <c r="AF43" s="232"/>
      <c r="AG43" s="232"/>
      <c r="AH43" s="220">
        <f>'Individual Parcel Estimate'!E43</f>
        <v>0</v>
      </c>
      <c r="AI43" s="270">
        <f>'Individual Parcel Estimate'!AQ43</f>
        <v>0</v>
      </c>
      <c r="AJ43" s="105"/>
      <c r="AK43" s="105"/>
      <c r="AL43" s="105"/>
      <c r="AM43" s="105"/>
    </row>
    <row r="44" spans="1:39" ht="15">
      <c r="A44" s="220">
        <f>'Individual Parcel Estimate'!A44</f>
        <v>0</v>
      </c>
      <c r="B44" s="220">
        <f>'Individual Parcel Estimate'!B44</f>
        <v>0</v>
      </c>
      <c r="C44" s="220">
        <f>'Individual Parcel Estimate'!C44</f>
        <v>0</v>
      </c>
      <c r="D44" s="359">
        <f>'Individual Parcel Estimate'!D44</f>
        <v>0</v>
      </c>
      <c r="E44" s="260"/>
      <c r="F44" s="260"/>
      <c r="G44" s="271">
        <f>'Individual Parcel Estimate'!T44</f>
        <v>0</v>
      </c>
      <c r="H44" s="260"/>
      <c r="I44" s="316">
        <f>'Individual Parcel Estimate'!Q44</f>
        <v>0</v>
      </c>
      <c r="J44" s="220">
        <f>'Individual Parcel Estimate'!R44</f>
        <v>0</v>
      </c>
      <c r="K44" s="220">
        <f>'Individual Parcel Estimate'!X44</f>
        <v>0</v>
      </c>
      <c r="L44" s="220">
        <f>'Individual Parcel Estimate'!V44</f>
        <v>0</v>
      </c>
      <c r="M44" s="260"/>
      <c r="N44" s="260"/>
      <c r="O44" s="220" t="str">
        <f>IF('Individual Parcel Estimate'!F44&gt;0,"Y","N")</f>
        <v>N</v>
      </c>
      <c r="P44" s="260"/>
      <c r="Q44" s="260"/>
      <c r="R44" s="220" t="str">
        <f>IF('Individual Parcel Estimate'!$AC44&gt;0,"Y","N")</f>
        <v>N</v>
      </c>
      <c r="S44" s="260"/>
      <c r="T44" s="260"/>
      <c r="U44" s="220" t="str">
        <f>IF('Individual Parcel Estimate'!$AI44&gt;0,"Y","N")</f>
        <v>N</v>
      </c>
      <c r="V44" s="260"/>
      <c r="W44" s="260"/>
      <c r="X44" s="260"/>
      <c r="Y44" s="232"/>
      <c r="Z44" s="232"/>
      <c r="AA44" s="260"/>
      <c r="AB44" s="260"/>
      <c r="AC44" s="260"/>
      <c r="AD44" s="260"/>
      <c r="AE44" s="260"/>
      <c r="AF44" s="232"/>
      <c r="AG44" s="232"/>
      <c r="AH44" s="220">
        <f>'Individual Parcel Estimate'!E44</f>
        <v>0</v>
      </c>
      <c r="AI44" s="270">
        <f>'Individual Parcel Estimate'!AQ44</f>
        <v>0</v>
      </c>
      <c r="AJ44" s="105"/>
      <c r="AK44" s="105"/>
      <c r="AL44" s="105"/>
      <c r="AM44" s="105"/>
    </row>
    <row r="45" spans="1:39" ht="15">
      <c r="A45" s="220">
        <f>'Individual Parcel Estimate'!A45</f>
        <v>0</v>
      </c>
      <c r="B45" s="220">
        <f>'Individual Parcel Estimate'!B45</f>
        <v>0</v>
      </c>
      <c r="C45" s="220">
        <f>'Individual Parcel Estimate'!C45</f>
        <v>0</v>
      </c>
      <c r="D45" s="359">
        <f>'Individual Parcel Estimate'!D45</f>
        <v>0</v>
      </c>
      <c r="E45" s="260"/>
      <c r="F45" s="260"/>
      <c r="G45" s="271">
        <f>'Individual Parcel Estimate'!T45</f>
        <v>0</v>
      </c>
      <c r="H45" s="260"/>
      <c r="I45" s="316">
        <f>'Individual Parcel Estimate'!Q45</f>
        <v>0</v>
      </c>
      <c r="J45" s="220">
        <f>'Individual Parcel Estimate'!R45</f>
        <v>0</v>
      </c>
      <c r="K45" s="220">
        <f>'Individual Parcel Estimate'!X45</f>
        <v>0</v>
      </c>
      <c r="L45" s="220">
        <f>'Individual Parcel Estimate'!V45</f>
        <v>0</v>
      </c>
      <c r="M45" s="260"/>
      <c r="N45" s="260"/>
      <c r="O45" s="220" t="str">
        <f>IF('Individual Parcel Estimate'!F45&gt;0,"Y","N")</f>
        <v>N</v>
      </c>
      <c r="P45" s="260"/>
      <c r="Q45" s="260"/>
      <c r="R45" s="220" t="str">
        <f>IF('Individual Parcel Estimate'!$AC45&gt;0,"Y","N")</f>
        <v>N</v>
      </c>
      <c r="S45" s="260"/>
      <c r="T45" s="260"/>
      <c r="U45" s="220" t="str">
        <f>IF('Individual Parcel Estimate'!$AI45&gt;0,"Y","N")</f>
        <v>N</v>
      </c>
      <c r="V45" s="260"/>
      <c r="W45" s="260"/>
      <c r="X45" s="260"/>
      <c r="Y45" s="232"/>
      <c r="Z45" s="232"/>
      <c r="AA45" s="260"/>
      <c r="AB45" s="260"/>
      <c r="AC45" s="260"/>
      <c r="AD45" s="260"/>
      <c r="AE45" s="260"/>
      <c r="AF45" s="232"/>
      <c r="AG45" s="232"/>
      <c r="AH45" s="220">
        <f>'Individual Parcel Estimate'!E45</f>
        <v>0</v>
      </c>
      <c r="AI45" s="270">
        <f>'Individual Parcel Estimate'!AQ45</f>
        <v>0</v>
      </c>
      <c r="AJ45" s="105"/>
      <c r="AK45" s="105"/>
      <c r="AL45" s="105"/>
      <c r="AM45" s="105"/>
    </row>
    <row r="46" spans="1:39" ht="15">
      <c r="A46" s="220">
        <f>'Individual Parcel Estimate'!A46</f>
        <v>0</v>
      </c>
      <c r="B46" s="220">
        <f>'Individual Parcel Estimate'!B46</f>
        <v>0</v>
      </c>
      <c r="C46" s="220">
        <f>'Individual Parcel Estimate'!C46</f>
        <v>0</v>
      </c>
      <c r="D46" s="359">
        <f>'Individual Parcel Estimate'!D46</f>
        <v>0</v>
      </c>
      <c r="E46" s="260"/>
      <c r="F46" s="260"/>
      <c r="G46" s="271">
        <f>'Individual Parcel Estimate'!T46</f>
        <v>0</v>
      </c>
      <c r="H46" s="260"/>
      <c r="I46" s="316">
        <f>'Individual Parcel Estimate'!Q46</f>
        <v>0</v>
      </c>
      <c r="J46" s="220">
        <f>'Individual Parcel Estimate'!R46</f>
        <v>0</v>
      </c>
      <c r="K46" s="220">
        <f>'Individual Parcel Estimate'!X46</f>
        <v>0</v>
      </c>
      <c r="L46" s="220">
        <f>'Individual Parcel Estimate'!V46</f>
        <v>0</v>
      </c>
      <c r="M46" s="260"/>
      <c r="N46" s="260"/>
      <c r="O46" s="220" t="str">
        <f>IF('Individual Parcel Estimate'!F46&gt;0,"Y","N")</f>
        <v>N</v>
      </c>
      <c r="P46" s="260"/>
      <c r="Q46" s="260"/>
      <c r="R46" s="220" t="str">
        <f>IF('Individual Parcel Estimate'!$AC46&gt;0,"Y","N")</f>
        <v>N</v>
      </c>
      <c r="S46" s="260"/>
      <c r="T46" s="260"/>
      <c r="U46" s="220" t="str">
        <f>IF('Individual Parcel Estimate'!$AI46&gt;0,"Y","N")</f>
        <v>N</v>
      </c>
      <c r="V46" s="260"/>
      <c r="W46" s="260"/>
      <c r="X46" s="260"/>
      <c r="Y46" s="232"/>
      <c r="Z46" s="232"/>
      <c r="AA46" s="260"/>
      <c r="AB46" s="260"/>
      <c r="AC46" s="260"/>
      <c r="AD46" s="260"/>
      <c r="AE46" s="260"/>
      <c r="AF46" s="232"/>
      <c r="AG46" s="232"/>
      <c r="AH46" s="220">
        <f>'Individual Parcel Estimate'!E46</f>
        <v>0</v>
      </c>
      <c r="AI46" s="270">
        <f>'Individual Parcel Estimate'!AQ46</f>
        <v>0</v>
      </c>
      <c r="AJ46" s="105"/>
      <c r="AK46" s="105"/>
      <c r="AL46" s="105"/>
      <c r="AM46" s="105"/>
    </row>
    <row r="47" spans="1:39" ht="15">
      <c r="A47" s="220">
        <f>'Individual Parcel Estimate'!A47</f>
        <v>0</v>
      </c>
      <c r="B47" s="220">
        <f>'Individual Parcel Estimate'!B47</f>
        <v>0</v>
      </c>
      <c r="C47" s="220">
        <f>'Individual Parcel Estimate'!C47</f>
        <v>0</v>
      </c>
      <c r="D47" s="359">
        <f>'Individual Parcel Estimate'!D47</f>
        <v>0</v>
      </c>
      <c r="E47" s="260"/>
      <c r="F47" s="260"/>
      <c r="G47" s="271">
        <f>'Individual Parcel Estimate'!T47</f>
        <v>0</v>
      </c>
      <c r="H47" s="260"/>
      <c r="I47" s="316">
        <f>'Individual Parcel Estimate'!Q47</f>
        <v>0</v>
      </c>
      <c r="J47" s="220">
        <f>'Individual Parcel Estimate'!R47</f>
        <v>0</v>
      </c>
      <c r="K47" s="220">
        <f>'Individual Parcel Estimate'!X47</f>
        <v>0</v>
      </c>
      <c r="L47" s="220">
        <f>'Individual Parcel Estimate'!V47</f>
        <v>0</v>
      </c>
      <c r="M47" s="260"/>
      <c r="N47" s="260"/>
      <c r="O47" s="220" t="str">
        <f>IF('Individual Parcel Estimate'!F47&gt;0,"Y","N")</f>
        <v>N</v>
      </c>
      <c r="P47" s="260"/>
      <c r="Q47" s="260"/>
      <c r="R47" s="220" t="str">
        <f>IF('Individual Parcel Estimate'!$AC47&gt;0,"Y","N")</f>
        <v>N</v>
      </c>
      <c r="S47" s="260"/>
      <c r="T47" s="260"/>
      <c r="U47" s="220" t="str">
        <f>IF('Individual Parcel Estimate'!$AI47&gt;0,"Y","N")</f>
        <v>N</v>
      </c>
      <c r="V47" s="260"/>
      <c r="W47" s="260"/>
      <c r="X47" s="260"/>
      <c r="Y47" s="232"/>
      <c r="Z47" s="232"/>
      <c r="AA47" s="260"/>
      <c r="AB47" s="260"/>
      <c r="AC47" s="260"/>
      <c r="AD47" s="260"/>
      <c r="AE47" s="260"/>
      <c r="AF47" s="232"/>
      <c r="AG47" s="232"/>
      <c r="AH47" s="220">
        <f>'Individual Parcel Estimate'!E47</f>
        <v>0</v>
      </c>
      <c r="AI47" s="270">
        <f>'Individual Parcel Estimate'!AQ47</f>
        <v>0</v>
      </c>
      <c r="AJ47" s="105"/>
      <c r="AK47" s="105"/>
      <c r="AL47" s="105"/>
      <c r="AM47" s="105"/>
    </row>
    <row r="48" spans="1:39" ht="15">
      <c r="A48" s="220">
        <f>'Individual Parcel Estimate'!A48</f>
        <v>0</v>
      </c>
      <c r="B48" s="220">
        <f>'Individual Parcel Estimate'!B48</f>
        <v>0</v>
      </c>
      <c r="C48" s="220">
        <f>'Individual Parcel Estimate'!C48</f>
        <v>0</v>
      </c>
      <c r="D48" s="359">
        <f>'Individual Parcel Estimate'!D48</f>
        <v>0</v>
      </c>
      <c r="E48" s="260"/>
      <c r="F48" s="260"/>
      <c r="G48" s="271">
        <f>'Individual Parcel Estimate'!T48</f>
        <v>0</v>
      </c>
      <c r="H48" s="260"/>
      <c r="I48" s="316">
        <f>'Individual Parcel Estimate'!Q48</f>
        <v>0</v>
      </c>
      <c r="J48" s="220">
        <f>'Individual Parcel Estimate'!R48</f>
        <v>0</v>
      </c>
      <c r="K48" s="220">
        <f>'Individual Parcel Estimate'!X48</f>
        <v>0</v>
      </c>
      <c r="L48" s="220">
        <f>'Individual Parcel Estimate'!V48</f>
        <v>0</v>
      </c>
      <c r="M48" s="260"/>
      <c r="N48" s="260"/>
      <c r="O48" s="220" t="str">
        <f>IF('Individual Parcel Estimate'!F48&gt;0,"Y","N")</f>
        <v>N</v>
      </c>
      <c r="P48" s="260"/>
      <c r="Q48" s="260"/>
      <c r="R48" s="220" t="str">
        <f>IF('Individual Parcel Estimate'!$AC48&gt;0,"Y","N")</f>
        <v>N</v>
      </c>
      <c r="S48" s="260"/>
      <c r="T48" s="260"/>
      <c r="U48" s="220" t="str">
        <f>IF('Individual Parcel Estimate'!$AI48&gt;0,"Y","N")</f>
        <v>N</v>
      </c>
      <c r="V48" s="260"/>
      <c r="W48" s="260"/>
      <c r="X48" s="260"/>
      <c r="Y48" s="232"/>
      <c r="Z48" s="232"/>
      <c r="AA48" s="260"/>
      <c r="AB48" s="260"/>
      <c r="AC48" s="260"/>
      <c r="AD48" s="260"/>
      <c r="AE48" s="260"/>
      <c r="AF48" s="232"/>
      <c r="AG48" s="232"/>
      <c r="AH48" s="220">
        <f>'Individual Parcel Estimate'!E48</f>
        <v>0</v>
      </c>
      <c r="AI48" s="270">
        <f>'Individual Parcel Estimate'!AQ48</f>
        <v>0</v>
      </c>
      <c r="AJ48" s="105"/>
      <c r="AK48" s="105"/>
      <c r="AL48" s="105"/>
      <c r="AM48" s="105"/>
    </row>
    <row r="49" spans="1:39" ht="15">
      <c r="A49" s="220">
        <f>'Individual Parcel Estimate'!A49</f>
        <v>0</v>
      </c>
      <c r="B49" s="220">
        <f>'Individual Parcel Estimate'!B49</f>
        <v>0</v>
      </c>
      <c r="C49" s="220">
        <f>'Individual Parcel Estimate'!C49</f>
        <v>0</v>
      </c>
      <c r="D49" s="359">
        <f>'Individual Parcel Estimate'!D49</f>
        <v>0</v>
      </c>
      <c r="E49" s="260"/>
      <c r="F49" s="260"/>
      <c r="G49" s="271">
        <f>'Individual Parcel Estimate'!T49</f>
        <v>0</v>
      </c>
      <c r="H49" s="260"/>
      <c r="I49" s="316">
        <f>'Individual Parcel Estimate'!Q49</f>
        <v>0</v>
      </c>
      <c r="J49" s="220">
        <f>'Individual Parcel Estimate'!R49</f>
        <v>0</v>
      </c>
      <c r="K49" s="220">
        <f>'Individual Parcel Estimate'!X49</f>
        <v>0</v>
      </c>
      <c r="L49" s="220">
        <f>'Individual Parcel Estimate'!V49</f>
        <v>0</v>
      </c>
      <c r="M49" s="260"/>
      <c r="N49" s="260"/>
      <c r="O49" s="220" t="str">
        <f>IF('Individual Parcel Estimate'!F49&gt;0,"Y","N")</f>
        <v>N</v>
      </c>
      <c r="P49" s="260"/>
      <c r="Q49" s="260"/>
      <c r="R49" s="220" t="str">
        <f>IF('Individual Parcel Estimate'!$AC49&gt;0,"Y","N")</f>
        <v>N</v>
      </c>
      <c r="S49" s="260"/>
      <c r="T49" s="260"/>
      <c r="U49" s="220" t="str">
        <f>IF('Individual Parcel Estimate'!$AI49&gt;0,"Y","N")</f>
        <v>N</v>
      </c>
      <c r="V49" s="260"/>
      <c r="W49" s="260"/>
      <c r="X49" s="260"/>
      <c r="Y49" s="232"/>
      <c r="Z49" s="232"/>
      <c r="AA49" s="260"/>
      <c r="AB49" s="260"/>
      <c r="AC49" s="260"/>
      <c r="AD49" s="260"/>
      <c r="AE49" s="260"/>
      <c r="AF49" s="232"/>
      <c r="AG49" s="232"/>
      <c r="AH49" s="220">
        <f>'Individual Parcel Estimate'!E49</f>
        <v>0</v>
      </c>
      <c r="AI49" s="270">
        <f>'Individual Parcel Estimate'!AQ49</f>
        <v>0</v>
      </c>
      <c r="AJ49" s="105"/>
      <c r="AK49" s="105"/>
      <c r="AL49" s="105"/>
      <c r="AM49" s="105"/>
    </row>
    <row r="50" spans="1:39" ht="15">
      <c r="A50" s="220">
        <f>'Individual Parcel Estimate'!A50</f>
        <v>0</v>
      </c>
      <c r="B50" s="220">
        <f>'Individual Parcel Estimate'!B50</f>
        <v>0</v>
      </c>
      <c r="C50" s="220">
        <f>'Individual Parcel Estimate'!C50</f>
        <v>0</v>
      </c>
      <c r="D50" s="359">
        <f>'Individual Parcel Estimate'!D50</f>
        <v>0</v>
      </c>
      <c r="E50" s="260"/>
      <c r="F50" s="260"/>
      <c r="G50" s="271">
        <f>'Individual Parcel Estimate'!T50</f>
        <v>0</v>
      </c>
      <c r="H50" s="260"/>
      <c r="I50" s="316">
        <f>'Individual Parcel Estimate'!Q50</f>
        <v>0</v>
      </c>
      <c r="J50" s="220">
        <f>'Individual Parcel Estimate'!R50</f>
        <v>0</v>
      </c>
      <c r="K50" s="220">
        <f>'Individual Parcel Estimate'!X50</f>
        <v>0</v>
      </c>
      <c r="L50" s="220">
        <f>'Individual Parcel Estimate'!V50</f>
        <v>0</v>
      </c>
      <c r="M50" s="260"/>
      <c r="N50" s="260"/>
      <c r="O50" s="220" t="str">
        <f>IF('Individual Parcel Estimate'!F50&gt;0,"Y","N")</f>
        <v>N</v>
      </c>
      <c r="P50" s="260"/>
      <c r="Q50" s="260"/>
      <c r="R50" s="220" t="str">
        <f>IF('Individual Parcel Estimate'!$AC50&gt;0,"Y","N")</f>
        <v>N</v>
      </c>
      <c r="S50" s="260"/>
      <c r="T50" s="260"/>
      <c r="U50" s="220" t="str">
        <f>IF('Individual Parcel Estimate'!$AI50&gt;0,"Y","N")</f>
        <v>N</v>
      </c>
      <c r="V50" s="260"/>
      <c r="W50" s="260"/>
      <c r="X50" s="260"/>
      <c r="Y50" s="232"/>
      <c r="Z50" s="232"/>
      <c r="AA50" s="260"/>
      <c r="AB50" s="260"/>
      <c r="AC50" s="260"/>
      <c r="AD50" s="260"/>
      <c r="AE50" s="260"/>
      <c r="AF50" s="232"/>
      <c r="AG50" s="232"/>
      <c r="AH50" s="220">
        <f>'Individual Parcel Estimate'!E50</f>
        <v>0</v>
      </c>
      <c r="AI50" s="270">
        <f>'Individual Parcel Estimate'!AQ50</f>
        <v>0</v>
      </c>
      <c r="AJ50" s="105"/>
      <c r="AK50" s="105"/>
      <c r="AL50" s="105"/>
      <c r="AM50" s="105"/>
    </row>
    <row r="51" spans="1:39" ht="15">
      <c r="A51" s="220">
        <f>'Individual Parcel Estimate'!A51</f>
        <v>0</v>
      </c>
      <c r="B51" s="220">
        <f>'Individual Parcel Estimate'!B51</f>
        <v>0</v>
      </c>
      <c r="C51" s="220">
        <f>'Individual Parcel Estimate'!C51</f>
        <v>0</v>
      </c>
      <c r="D51" s="359">
        <f>'Individual Parcel Estimate'!D51</f>
        <v>0</v>
      </c>
      <c r="E51" s="260"/>
      <c r="F51" s="260"/>
      <c r="G51" s="271">
        <f>'Individual Parcel Estimate'!T51</f>
        <v>0</v>
      </c>
      <c r="H51" s="260"/>
      <c r="I51" s="316">
        <f>'Individual Parcel Estimate'!Q51</f>
        <v>0</v>
      </c>
      <c r="J51" s="220">
        <f>'Individual Parcel Estimate'!R51</f>
        <v>0</v>
      </c>
      <c r="K51" s="220">
        <f>'Individual Parcel Estimate'!X51</f>
        <v>0</v>
      </c>
      <c r="L51" s="220">
        <f>'Individual Parcel Estimate'!V51</f>
        <v>0</v>
      </c>
      <c r="M51" s="260"/>
      <c r="N51" s="260"/>
      <c r="O51" s="220" t="str">
        <f>IF('Individual Parcel Estimate'!F51&gt;0,"Y","N")</f>
        <v>N</v>
      </c>
      <c r="P51" s="260"/>
      <c r="Q51" s="260"/>
      <c r="R51" s="220" t="str">
        <f>IF('Individual Parcel Estimate'!$AC51&gt;0,"Y","N")</f>
        <v>N</v>
      </c>
      <c r="S51" s="260"/>
      <c r="T51" s="260"/>
      <c r="U51" s="220" t="str">
        <f>IF('Individual Parcel Estimate'!$AI51&gt;0,"Y","N")</f>
        <v>N</v>
      </c>
      <c r="V51" s="260"/>
      <c r="W51" s="260"/>
      <c r="X51" s="260"/>
      <c r="Y51" s="232"/>
      <c r="Z51" s="232"/>
      <c r="AA51" s="260"/>
      <c r="AB51" s="260"/>
      <c r="AC51" s="260"/>
      <c r="AD51" s="260"/>
      <c r="AE51" s="260"/>
      <c r="AF51" s="232"/>
      <c r="AG51" s="232"/>
      <c r="AH51" s="220">
        <f>'Individual Parcel Estimate'!E51</f>
        <v>0</v>
      </c>
      <c r="AI51" s="270">
        <f>'Individual Parcel Estimate'!AQ51</f>
        <v>0</v>
      </c>
      <c r="AJ51" s="105"/>
      <c r="AK51" s="105"/>
      <c r="AL51" s="105"/>
      <c r="AM51" s="105"/>
    </row>
    <row r="52" spans="1:39" ht="15">
      <c r="A52" s="220">
        <f>'Individual Parcel Estimate'!A52</f>
        <v>0</v>
      </c>
      <c r="B52" s="220">
        <f>'Individual Parcel Estimate'!B52</f>
        <v>0</v>
      </c>
      <c r="C52" s="220">
        <f>'Individual Parcel Estimate'!C52</f>
        <v>0</v>
      </c>
      <c r="D52" s="359">
        <f>'Individual Parcel Estimate'!D52</f>
        <v>0</v>
      </c>
      <c r="E52" s="260"/>
      <c r="F52" s="260"/>
      <c r="G52" s="271">
        <f>'Individual Parcel Estimate'!T52</f>
        <v>0</v>
      </c>
      <c r="H52" s="260"/>
      <c r="I52" s="316">
        <f>'Individual Parcel Estimate'!Q52</f>
        <v>0</v>
      </c>
      <c r="J52" s="220">
        <f>'Individual Parcel Estimate'!R52</f>
        <v>0</v>
      </c>
      <c r="K52" s="220">
        <f>'Individual Parcel Estimate'!X52</f>
        <v>0</v>
      </c>
      <c r="L52" s="220">
        <f>'Individual Parcel Estimate'!V52</f>
        <v>0</v>
      </c>
      <c r="M52" s="260"/>
      <c r="N52" s="260"/>
      <c r="O52" s="220" t="str">
        <f>IF('Individual Parcel Estimate'!F52&gt;0,"Y","N")</f>
        <v>N</v>
      </c>
      <c r="P52" s="260"/>
      <c r="Q52" s="260"/>
      <c r="R52" s="220" t="str">
        <f>IF('Individual Parcel Estimate'!$AC52&gt;0,"Y","N")</f>
        <v>N</v>
      </c>
      <c r="S52" s="260"/>
      <c r="T52" s="260"/>
      <c r="U52" s="220" t="str">
        <f>IF('Individual Parcel Estimate'!$AI52&gt;0,"Y","N")</f>
        <v>N</v>
      </c>
      <c r="V52" s="260"/>
      <c r="W52" s="260"/>
      <c r="X52" s="260"/>
      <c r="Y52" s="232"/>
      <c r="Z52" s="232"/>
      <c r="AA52" s="260"/>
      <c r="AB52" s="260"/>
      <c r="AC52" s="260"/>
      <c r="AD52" s="260"/>
      <c r="AE52" s="260"/>
      <c r="AF52" s="232"/>
      <c r="AG52" s="232"/>
      <c r="AH52" s="220">
        <f>'Individual Parcel Estimate'!E52</f>
        <v>0</v>
      </c>
      <c r="AI52" s="270">
        <f>'Individual Parcel Estimate'!AQ52</f>
        <v>0</v>
      </c>
      <c r="AJ52" s="105"/>
      <c r="AK52" s="105"/>
      <c r="AL52" s="105"/>
      <c r="AM52" s="105"/>
    </row>
    <row r="53" spans="1:39" ht="15">
      <c r="A53" s="220">
        <f>'Individual Parcel Estimate'!A53</f>
        <v>0</v>
      </c>
      <c r="B53" s="220">
        <f>'Individual Parcel Estimate'!B53</f>
        <v>0</v>
      </c>
      <c r="C53" s="220">
        <f>'Individual Parcel Estimate'!C53</f>
        <v>0</v>
      </c>
      <c r="D53" s="359">
        <f>'Individual Parcel Estimate'!D53</f>
        <v>0</v>
      </c>
      <c r="E53" s="260"/>
      <c r="F53" s="260"/>
      <c r="G53" s="271">
        <f>'Individual Parcel Estimate'!T53</f>
        <v>0</v>
      </c>
      <c r="H53" s="260"/>
      <c r="I53" s="316">
        <f>'Individual Parcel Estimate'!Q53</f>
        <v>0</v>
      </c>
      <c r="J53" s="220">
        <f>'Individual Parcel Estimate'!R53</f>
        <v>0</v>
      </c>
      <c r="K53" s="220">
        <f>'Individual Parcel Estimate'!X53</f>
        <v>0</v>
      </c>
      <c r="L53" s="220">
        <f>'Individual Parcel Estimate'!V53</f>
        <v>0</v>
      </c>
      <c r="M53" s="260"/>
      <c r="N53" s="260"/>
      <c r="O53" s="220" t="str">
        <f>IF('Individual Parcel Estimate'!F53&gt;0,"Y","N")</f>
        <v>N</v>
      </c>
      <c r="P53" s="260"/>
      <c r="Q53" s="260"/>
      <c r="R53" s="220" t="str">
        <f>IF('Individual Parcel Estimate'!$AC53&gt;0,"Y","N")</f>
        <v>N</v>
      </c>
      <c r="S53" s="260"/>
      <c r="T53" s="260"/>
      <c r="U53" s="220" t="str">
        <f>IF('Individual Parcel Estimate'!$AI53&gt;0,"Y","N")</f>
        <v>N</v>
      </c>
      <c r="V53" s="260"/>
      <c r="W53" s="260"/>
      <c r="X53" s="260"/>
      <c r="Y53" s="232"/>
      <c r="Z53" s="232"/>
      <c r="AA53" s="260"/>
      <c r="AB53" s="260"/>
      <c r="AC53" s="260"/>
      <c r="AD53" s="260"/>
      <c r="AE53" s="260"/>
      <c r="AF53" s="232"/>
      <c r="AG53" s="232"/>
      <c r="AH53" s="220">
        <f>'Individual Parcel Estimate'!E53</f>
        <v>0</v>
      </c>
      <c r="AI53" s="270">
        <f>'Individual Parcel Estimate'!AQ53</f>
        <v>0</v>
      </c>
      <c r="AJ53" s="105"/>
      <c r="AK53" s="105"/>
      <c r="AL53" s="105"/>
      <c r="AM53" s="105"/>
    </row>
    <row r="54" spans="1:39" ht="15">
      <c r="A54" s="220">
        <f>'Individual Parcel Estimate'!A54</f>
        <v>0</v>
      </c>
      <c r="B54" s="220">
        <f>'Individual Parcel Estimate'!B54</f>
        <v>0</v>
      </c>
      <c r="C54" s="220">
        <f>'Individual Parcel Estimate'!C54</f>
        <v>0</v>
      </c>
      <c r="D54" s="359">
        <f>'Individual Parcel Estimate'!D54</f>
        <v>0</v>
      </c>
      <c r="E54" s="260"/>
      <c r="F54" s="260"/>
      <c r="G54" s="271">
        <f>'Individual Parcel Estimate'!T54</f>
        <v>0</v>
      </c>
      <c r="H54" s="260"/>
      <c r="I54" s="316">
        <f>'Individual Parcel Estimate'!Q54</f>
        <v>0</v>
      </c>
      <c r="J54" s="220">
        <f>'Individual Parcel Estimate'!R54</f>
        <v>0</v>
      </c>
      <c r="K54" s="220">
        <f>'Individual Parcel Estimate'!X54</f>
        <v>0</v>
      </c>
      <c r="L54" s="220">
        <f>'Individual Parcel Estimate'!V54</f>
        <v>0</v>
      </c>
      <c r="M54" s="260"/>
      <c r="N54" s="260"/>
      <c r="O54" s="220" t="str">
        <f>IF('Individual Parcel Estimate'!F54&gt;0,"Y","N")</f>
        <v>N</v>
      </c>
      <c r="P54" s="260"/>
      <c r="Q54" s="260"/>
      <c r="R54" s="220" t="str">
        <f>IF('Individual Parcel Estimate'!$AC54&gt;0,"Y","N")</f>
        <v>N</v>
      </c>
      <c r="S54" s="260"/>
      <c r="T54" s="260"/>
      <c r="U54" s="220" t="str">
        <f>IF('Individual Parcel Estimate'!$AI54&gt;0,"Y","N")</f>
        <v>N</v>
      </c>
      <c r="V54" s="260"/>
      <c r="W54" s="260"/>
      <c r="X54" s="260"/>
      <c r="Y54" s="232"/>
      <c r="Z54" s="232"/>
      <c r="AA54" s="260"/>
      <c r="AB54" s="260"/>
      <c r="AC54" s="260"/>
      <c r="AD54" s="260"/>
      <c r="AE54" s="260"/>
      <c r="AF54" s="232"/>
      <c r="AG54" s="232"/>
      <c r="AH54" s="220">
        <f>'Individual Parcel Estimate'!E54</f>
        <v>0</v>
      </c>
      <c r="AI54" s="270">
        <f>'Individual Parcel Estimate'!AQ54</f>
        <v>0</v>
      </c>
      <c r="AJ54" s="105"/>
      <c r="AK54" s="105"/>
      <c r="AL54" s="105"/>
      <c r="AM54" s="105"/>
    </row>
    <row r="55" spans="1:39" ht="15">
      <c r="A55" s="220">
        <f>'Individual Parcel Estimate'!A55</f>
        <v>0</v>
      </c>
      <c r="B55" s="220">
        <f>'Individual Parcel Estimate'!B55</f>
        <v>0</v>
      </c>
      <c r="C55" s="220">
        <f>'Individual Parcel Estimate'!C55</f>
        <v>0</v>
      </c>
      <c r="D55" s="359">
        <f>'Individual Parcel Estimate'!D55</f>
        <v>0</v>
      </c>
      <c r="E55" s="260"/>
      <c r="F55" s="260"/>
      <c r="G55" s="271">
        <f>'Individual Parcel Estimate'!T55</f>
        <v>0</v>
      </c>
      <c r="H55" s="260"/>
      <c r="I55" s="316">
        <f>'Individual Parcel Estimate'!Q55</f>
        <v>0</v>
      </c>
      <c r="J55" s="220">
        <f>'Individual Parcel Estimate'!R55</f>
        <v>0</v>
      </c>
      <c r="K55" s="220">
        <f>'Individual Parcel Estimate'!X55</f>
        <v>0</v>
      </c>
      <c r="L55" s="220">
        <f>'Individual Parcel Estimate'!V55</f>
        <v>0</v>
      </c>
      <c r="M55" s="260"/>
      <c r="N55" s="260"/>
      <c r="O55" s="220" t="str">
        <f>IF('Individual Parcel Estimate'!F55&gt;0,"Y","N")</f>
        <v>N</v>
      </c>
      <c r="P55" s="260"/>
      <c r="Q55" s="260"/>
      <c r="R55" s="220" t="str">
        <f>IF('Individual Parcel Estimate'!$AC55&gt;0,"Y","N")</f>
        <v>N</v>
      </c>
      <c r="S55" s="260"/>
      <c r="T55" s="260"/>
      <c r="U55" s="220" t="str">
        <f>IF('Individual Parcel Estimate'!$AI55&gt;0,"Y","N")</f>
        <v>N</v>
      </c>
      <c r="V55" s="260"/>
      <c r="W55" s="260"/>
      <c r="X55" s="260"/>
      <c r="Y55" s="232"/>
      <c r="Z55" s="232"/>
      <c r="AA55" s="260"/>
      <c r="AB55" s="260"/>
      <c r="AC55" s="260"/>
      <c r="AD55" s="260"/>
      <c r="AE55" s="260"/>
      <c r="AF55" s="232"/>
      <c r="AG55" s="232"/>
      <c r="AH55" s="220">
        <f>'Individual Parcel Estimate'!E55</f>
        <v>0</v>
      </c>
      <c r="AI55" s="270">
        <f>'Individual Parcel Estimate'!AQ55</f>
        <v>0</v>
      </c>
      <c r="AJ55" s="105"/>
      <c r="AK55" s="105"/>
      <c r="AL55" s="105"/>
      <c r="AM55" s="105"/>
    </row>
    <row r="56" spans="1:39" ht="15">
      <c r="A56" s="220">
        <f>'Individual Parcel Estimate'!A56</f>
        <v>0</v>
      </c>
      <c r="B56" s="220">
        <f>'Individual Parcel Estimate'!B56</f>
        <v>0</v>
      </c>
      <c r="C56" s="220">
        <f>'Individual Parcel Estimate'!C56</f>
        <v>0</v>
      </c>
      <c r="D56" s="359">
        <f>'Individual Parcel Estimate'!D56</f>
        <v>0</v>
      </c>
      <c r="E56" s="260"/>
      <c r="F56" s="260"/>
      <c r="G56" s="271">
        <f>'Individual Parcel Estimate'!T56</f>
        <v>0</v>
      </c>
      <c r="H56" s="260"/>
      <c r="I56" s="316">
        <f>'Individual Parcel Estimate'!Q56</f>
        <v>0</v>
      </c>
      <c r="J56" s="220">
        <f>'Individual Parcel Estimate'!R56</f>
        <v>0</v>
      </c>
      <c r="K56" s="220">
        <f>'Individual Parcel Estimate'!X56</f>
        <v>0</v>
      </c>
      <c r="L56" s="220">
        <f>'Individual Parcel Estimate'!V56</f>
        <v>0</v>
      </c>
      <c r="M56" s="260"/>
      <c r="N56" s="260"/>
      <c r="O56" s="220" t="str">
        <f>IF('Individual Parcel Estimate'!F56&gt;0,"Y","N")</f>
        <v>N</v>
      </c>
      <c r="P56" s="260"/>
      <c r="Q56" s="260"/>
      <c r="R56" s="220" t="str">
        <f>IF('Individual Parcel Estimate'!$AC56&gt;0,"Y","N")</f>
        <v>N</v>
      </c>
      <c r="S56" s="260"/>
      <c r="T56" s="260"/>
      <c r="U56" s="220" t="str">
        <f>IF('Individual Parcel Estimate'!$AI56&gt;0,"Y","N")</f>
        <v>N</v>
      </c>
      <c r="V56" s="260"/>
      <c r="W56" s="260"/>
      <c r="X56" s="260"/>
      <c r="Y56" s="232"/>
      <c r="Z56" s="232"/>
      <c r="AA56" s="260"/>
      <c r="AB56" s="260"/>
      <c r="AC56" s="260"/>
      <c r="AD56" s="260"/>
      <c r="AE56" s="260"/>
      <c r="AF56" s="232"/>
      <c r="AG56" s="232"/>
      <c r="AH56" s="220">
        <f>'Individual Parcel Estimate'!E56</f>
        <v>0</v>
      </c>
      <c r="AI56" s="270">
        <f>'Individual Parcel Estimate'!AQ56</f>
        <v>0</v>
      </c>
      <c r="AJ56" s="105"/>
      <c r="AK56" s="105"/>
      <c r="AL56" s="105"/>
      <c r="AM56" s="105"/>
    </row>
    <row r="57" spans="1:39" ht="15">
      <c r="A57" s="220">
        <f>'Individual Parcel Estimate'!A57</f>
        <v>0</v>
      </c>
      <c r="B57" s="220">
        <f>'Individual Parcel Estimate'!B57</f>
        <v>0</v>
      </c>
      <c r="C57" s="220">
        <f>'Individual Parcel Estimate'!C57</f>
        <v>0</v>
      </c>
      <c r="D57" s="359">
        <f>'Individual Parcel Estimate'!D57</f>
        <v>0</v>
      </c>
      <c r="E57" s="260"/>
      <c r="F57" s="260"/>
      <c r="G57" s="271">
        <f>'Individual Parcel Estimate'!T57</f>
        <v>0</v>
      </c>
      <c r="H57" s="260"/>
      <c r="I57" s="316">
        <f>'Individual Parcel Estimate'!Q57</f>
        <v>0</v>
      </c>
      <c r="J57" s="220">
        <f>'Individual Parcel Estimate'!R57</f>
        <v>0</v>
      </c>
      <c r="K57" s="220">
        <f>'Individual Parcel Estimate'!X57</f>
        <v>0</v>
      </c>
      <c r="L57" s="220">
        <f>'Individual Parcel Estimate'!V57</f>
        <v>0</v>
      </c>
      <c r="M57" s="260"/>
      <c r="N57" s="260"/>
      <c r="O57" s="220" t="str">
        <f>IF('Individual Parcel Estimate'!F57&gt;0,"Y","N")</f>
        <v>N</v>
      </c>
      <c r="P57" s="260"/>
      <c r="Q57" s="260"/>
      <c r="R57" s="220" t="str">
        <f>IF('Individual Parcel Estimate'!$AC57&gt;0,"Y","N")</f>
        <v>N</v>
      </c>
      <c r="S57" s="260"/>
      <c r="T57" s="260"/>
      <c r="U57" s="220" t="str">
        <f>IF('Individual Parcel Estimate'!$AI57&gt;0,"Y","N")</f>
        <v>N</v>
      </c>
      <c r="V57" s="260"/>
      <c r="W57" s="260"/>
      <c r="X57" s="260"/>
      <c r="Y57" s="232"/>
      <c r="Z57" s="232"/>
      <c r="AA57" s="260"/>
      <c r="AB57" s="260"/>
      <c r="AC57" s="260"/>
      <c r="AD57" s="260"/>
      <c r="AE57" s="260"/>
      <c r="AF57" s="232"/>
      <c r="AG57" s="232"/>
      <c r="AH57" s="220">
        <f>'Individual Parcel Estimate'!E57</f>
        <v>0</v>
      </c>
      <c r="AI57" s="270">
        <f>'Individual Parcel Estimate'!AQ57</f>
        <v>0</v>
      </c>
      <c r="AJ57" s="105"/>
      <c r="AK57" s="105"/>
      <c r="AL57" s="105"/>
      <c r="AM57" s="105"/>
    </row>
    <row r="58" spans="1:39" s="113" customFormat="1">
      <c r="A58" s="109"/>
      <c r="B58" s="200"/>
      <c r="C58" s="200"/>
      <c r="D58" s="200"/>
      <c r="E58" s="200"/>
      <c r="F58" s="200"/>
      <c r="G58" s="200"/>
      <c r="H58" s="312"/>
      <c r="I58" s="147"/>
      <c r="J58" s="147"/>
      <c r="K58" s="147"/>
      <c r="L58" s="147"/>
      <c r="M58" s="147"/>
      <c r="N58" s="147"/>
      <c r="O58" s="317"/>
      <c r="P58" s="147"/>
      <c r="Q58" s="147"/>
      <c r="R58" s="147"/>
      <c r="S58" s="147"/>
      <c r="T58" s="147"/>
      <c r="U58" s="147"/>
      <c r="AK58" s="179"/>
      <c r="AL58" s="177"/>
      <c r="AM58" s="177"/>
    </row>
    <row r="59" spans="1:39" s="113" customFormat="1" ht="25.5">
      <c r="A59" s="228" t="s">
        <v>121</v>
      </c>
      <c r="B59" s="200"/>
      <c r="C59" s="200"/>
      <c r="D59" s="200"/>
      <c r="E59" s="200"/>
      <c r="F59" s="200"/>
      <c r="G59" s="200"/>
      <c r="H59" s="312"/>
      <c r="I59" s="147"/>
      <c r="J59" s="147"/>
      <c r="K59" s="147"/>
      <c r="L59" s="147"/>
      <c r="M59" s="147"/>
      <c r="N59" s="147"/>
      <c r="O59" s="317"/>
      <c r="P59" s="147"/>
      <c r="Q59" s="147"/>
      <c r="R59" s="147"/>
      <c r="S59" s="147"/>
      <c r="T59" s="147"/>
      <c r="U59" s="147"/>
      <c r="AK59" s="179"/>
      <c r="AL59" s="177"/>
      <c r="AM59" s="177"/>
    </row>
    <row r="60" spans="1:39" s="113" customFormat="1">
      <c r="A60" s="225"/>
      <c r="B60" s="108"/>
      <c r="C60" s="108"/>
      <c r="D60" s="108"/>
      <c r="E60" s="108"/>
      <c r="F60" s="200"/>
      <c r="G60" s="200"/>
      <c r="H60" s="312"/>
      <c r="I60" s="147"/>
      <c r="J60" s="147"/>
      <c r="K60" s="147"/>
      <c r="L60" s="147"/>
      <c r="M60" s="147"/>
      <c r="N60" s="147"/>
      <c r="O60" s="317"/>
      <c r="P60" s="276" t="s">
        <v>268</v>
      </c>
      <c r="Q60" s="147"/>
      <c r="R60" s="147"/>
      <c r="S60" s="147"/>
      <c r="T60" s="147"/>
      <c r="U60" s="147"/>
      <c r="AK60" s="179"/>
      <c r="AL60" s="177"/>
      <c r="AM60" s="177"/>
    </row>
    <row r="61" spans="1:39" s="113" customFormat="1">
      <c r="A61" s="109"/>
      <c r="B61" s="108"/>
      <c r="C61" s="108"/>
      <c r="D61" s="108"/>
      <c r="E61" s="108"/>
      <c r="F61" s="200"/>
      <c r="G61" s="200"/>
      <c r="H61" s="312"/>
      <c r="I61" s="147"/>
      <c r="J61" s="147"/>
      <c r="K61" s="147"/>
      <c r="L61" s="147"/>
      <c r="M61" s="147"/>
      <c r="N61" s="147"/>
      <c r="O61" s="317"/>
      <c r="P61" s="147" t="s">
        <v>269</v>
      </c>
      <c r="Q61" s="147"/>
      <c r="R61" s="147"/>
      <c r="S61" s="147"/>
      <c r="T61" s="147"/>
      <c r="U61" s="147"/>
      <c r="AK61" s="179"/>
      <c r="AL61" s="177"/>
      <c r="AM61" s="177"/>
    </row>
    <row r="62" spans="1:39" s="113" customFormat="1">
      <c r="A62" s="109"/>
      <c r="B62" s="109"/>
      <c r="C62" s="109"/>
      <c r="D62" s="109"/>
      <c r="E62" s="109"/>
      <c r="F62" s="200"/>
      <c r="G62" s="200"/>
      <c r="H62" s="312"/>
      <c r="I62" s="147"/>
      <c r="J62" s="147"/>
      <c r="K62" s="147"/>
      <c r="L62" s="147"/>
      <c r="M62" s="147"/>
      <c r="N62" s="147"/>
      <c r="O62" s="317"/>
      <c r="P62" s="147" t="s">
        <v>270</v>
      </c>
      <c r="Q62" s="147"/>
      <c r="R62" s="147"/>
      <c r="S62" s="147"/>
      <c r="T62" s="147"/>
      <c r="U62" s="147"/>
      <c r="AK62" s="179"/>
      <c r="AL62" s="177"/>
      <c r="AM62" s="177"/>
    </row>
    <row r="63" spans="1:39" s="113" customFormat="1">
      <c r="A63" s="109"/>
      <c r="B63" s="200"/>
      <c r="C63" s="200" t="s">
        <v>109</v>
      </c>
      <c r="D63" s="200"/>
      <c r="E63" s="200" t="s">
        <v>272</v>
      </c>
      <c r="F63" s="200" t="s">
        <v>276</v>
      </c>
      <c r="G63" s="200"/>
      <c r="H63" s="312"/>
      <c r="I63" s="147"/>
      <c r="J63" s="147"/>
      <c r="K63" s="147"/>
      <c r="L63" s="147"/>
      <c r="M63" s="147"/>
      <c r="N63" s="147"/>
      <c r="O63" s="317"/>
      <c r="P63" s="317" t="s">
        <v>271</v>
      </c>
      <c r="Q63" s="147"/>
      <c r="R63" s="147"/>
      <c r="S63" s="147"/>
      <c r="T63" s="147"/>
      <c r="U63" s="147"/>
      <c r="AK63" s="179"/>
      <c r="AL63" s="177"/>
      <c r="AM63" s="177"/>
    </row>
    <row r="64" spans="1:39" s="113" customFormat="1">
      <c r="A64" s="109"/>
      <c r="B64" s="200"/>
      <c r="C64" s="200" t="s">
        <v>279</v>
      </c>
      <c r="D64" s="200"/>
      <c r="E64" s="200" t="s">
        <v>273</v>
      </c>
      <c r="F64" s="200" t="s">
        <v>135</v>
      </c>
      <c r="G64" s="200"/>
      <c r="H64" s="312"/>
      <c r="I64" s="147"/>
      <c r="J64" s="147"/>
      <c r="K64" s="147"/>
      <c r="L64" s="147"/>
      <c r="M64" s="147"/>
      <c r="N64" s="147"/>
      <c r="O64" s="317"/>
      <c r="P64" s="147"/>
      <c r="Q64" s="147"/>
      <c r="R64" s="147"/>
      <c r="S64" s="147"/>
      <c r="T64" s="147"/>
      <c r="U64" s="147"/>
      <c r="AK64" s="179"/>
      <c r="AL64" s="177"/>
      <c r="AM64" s="177"/>
    </row>
    <row r="65" spans="1:39" s="113" customFormat="1">
      <c r="A65" s="109"/>
      <c r="B65" s="200"/>
      <c r="C65" s="200" t="s">
        <v>280</v>
      </c>
      <c r="D65" s="200"/>
      <c r="E65" s="200" t="s">
        <v>274</v>
      </c>
      <c r="F65" s="200" t="s">
        <v>131</v>
      </c>
      <c r="G65" s="200"/>
      <c r="H65" s="312"/>
      <c r="I65" s="147"/>
      <c r="J65" s="147"/>
      <c r="K65" s="147"/>
      <c r="L65" s="147"/>
      <c r="M65" s="147"/>
      <c r="N65" s="147"/>
      <c r="O65" s="317"/>
      <c r="P65" s="147"/>
      <c r="Q65" s="147"/>
      <c r="R65" s="147"/>
      <c r="S65" s="147"/>
      <c r="T65" s="147"/>
      <c r="U65" s="147"/>
      <c r="AK65" s="179"/>
      <c r="AL65" s="177"/>
      <c r="AM65" s="177"/>
    </row>
    <row r="66" spans="1:39" s="113" customFormat="1" ht="38.25">
      <c r="A66" s="109"/>
      <c r="B66" s="200"/>
      <c r="C66" s="200" t="s">
        <v>281</v>
      </c>
      <c r="D66" s="200"/>
      <c r="E66" s="200" t="s">
        <v>275</v>
      </c>
      <c r="F66" s="200" t="s">
        <v>133</v>
      </c>
      <c r="G66" s="200"/>
      <c r="H66" s="312"/>
      <c r="I66" s="147"/>
      <c r="J66" s="147"/>
      <c r="K66" s="147"/>
      <c r="L66" s="147"/>
      <c r="M66" s="147"/>
      <c r="N66" s="147"/>
      <c r="O66" s="317"/>
      <c r="P66" s="147"/>
      <c r="Q66" s="147"/>
      <c r="R66" s="147"/>
      <c r="S66" s="147"/>
      <c r="T66" s="147"/>
      <c r="U66" s="147"/>
      <c r="AK66" s="179"/>
      <c r="AL66" s="177"/>
      <c r="AM66" s="177"/>
    </row>
    <row r="67" spans="1:39" s="113" customFormat="1">
      <c r="A67" s="109"/>
      <c r="B67" s="200"/>
      <c r="C67" s="200" t="s">
        <v>282</v>
      </c>
      <c r="D67" s="200"/>
      <c r="E67" s="200"/>
      <c r="F67" s="200" t="s">
        <v>128</v>
      </c>
      <c r="G67" s="200"/>
      <c r="H67" s="312"/>
      <c r="I67" s="147"/>
      <c r="J67" s="147"/>
      <c r="K67" s="147"/>
      <c r="L67" s="147"/>
      <c r="M67" s="147"/>
      <c r="N67" s="147"/>
      <c r="O67" s="317"/>
      <c r="P67" s="147"/>
      <c r="Q67" s="147"/>
      <c r="R67" s="147"/>
      <c r="S67" s="147"/>
      <c r="T67" s="147"/>
      <c r="U67" s="147"/>
      <c r="AK67" s="179"/>
      <c r="AL67" s="177"/>
      <c r="AM67" s="177"/>
    </row>
    <row r="68" spans="1:39" s="113" customFormat="1" ht="25.5">
      <c r="A68" s="109"/>
      <c r="B68" s="200"/>
      <c r="C68" s="200" t="s">
        <v>283</v>
      </c>
      <c r="D68" s="200"/>
      <c r="E68" s="200"/>
      <c r="F68" s="200" t="s">
        <v>137</v>
      </c>
      <c r="G68" s="200"/>
      <c r="H68" s="312"/>
      <c r="I68" s="147"/>
      <c r="J68" s="147"/>
      <c r="K68" s="147"/>
      <c r="L68" s="147"/>
      <c r="M68" s="147"/>
      <c r="N68" s="147"/>
      <c r="O68" s="317"/>
      <c r="P68" s="147"/>
      <c r="Q68" s="147"/>
      <c r="R68" s="147"/>
      <c r="S68" s="147"/>
      <c r="T68" s="147"/>
      <c r="U68" s="147"/>
      <c r="AK68" s="179"/>
      <c r="AL68" s="177"/>
      <c r="AM68" s="177"/>
    </row>
    <row r="69" spans="1:39" s="113" customFormat="1">
      <c r="A69" s="109"/>
      <c r="B69" s="200"/>
      <c r="C69" s="200" t="s">
        <v>284</v>
      </c>
      <c r="D69" s="200"/>
      <c r="E69" s="200"/>
      <c r="F69" s="200" t="s">
        <v>125</v>
      </c>
      <c r="G69" s="200"/>
      <c r="H69" s="312"/>
      <c r="I69" s="147"/>
      <c r="J69" s="147"/>
      <c r="K69" s="147"/>
      <c r="L69" s="147"/>
      <c r="M69" s="147"/>
      <c r="N69" s="147"/>
      <c r="O69" s="317"/>
      <c r="P69" s="147"/>
      <c r="Q69" s="147"/>
      <c r="R69" s="147"/>
      <c r="S69" s="147"/>
      <c r="T69" s="147"/>
      <c r="U69" s="147"/>
      <c r="AK69" s="179"/>
      <c r="AL69" s="177"/>
      <c r="AM69" s="177"/>
    </row>
    <row r="70" spans="1:39" s="113" customFormat="1" ht="25.5">
      <c r="A70" s="109"/>
      <c r="B70" s="200"/>
      <c r="C70" s="200" t="s">
        <v>285</v>
      </c>
      <c r="D70" s="200"/>
      <c r="E70" s="200"/>
      <c r="F70" s="200" t="s">
        <v>277</v>
      </c>
      <c r="G70" s="200"/>
      <c r="H70" s="312"/>
      <c r="I70" s="147"/>
      <c r="J70" s="147"/>
      <c r="K70" s="147"/>
      <c r="L70" s="147"/>
      <c r="M70" s="147"/>
      <c r="N70" s="147"/>
      <c r="O70" s="317"/>
      <c r="P70" s="147"/>
      <c r="Q70" s="147"/>
      <c r="R70" s="147"/>
      <c r="S70" s="147"/>
      <c r="T70" s="147"/>
      <c r="U70" s="147"/>
      <c r="AK70" s="179"/>
      <c r="AL70" s="177"/>
      <c r="AM70" s="177"/>
    </row>
    <row r="71" spans="1:39" s="113" customFormat="1">
      <c r="A71" s="109"/>
      <c r="B71" s="200"/>
      <c r="C71" s="200"/>
      <c r="D71" s="200"/>
      <c r="E71" s="200"/>
      <c r="F71" s="200"/>
      <c r="G71" s="200"/>
      <c r="H71" s="312"/>
      <c r="I71" s="147"/>
      <c r="J71" s="147"/>
      <c r="K71" s="147"/>
      <c r="L71" s="147"/>
      <c r="M71" s="147"/>
      <c r="N71" s="147"/>
      <c r="O71" s="317"/>
      <c r="P71" s="147"/>
      <c r="Q71" s="147"/>
      <c r="R71" s="147"/>
      <c r="S71" s="147"/>
      <c r="T71" s="147"/>
      <c r="U71" s="147"/>
      <c r="AK71" s="179"/>
      <c r="AL71" s="177"/>
      <c r="AM71" s="177"/>
    </row>
    <row r="72" spans="1:39" s="113" customFormat="1">
      <c r="A72" s="109"/>
      <c r="B72" s="200"/>
      <c r="C72" s="200"/>
      <c r="D72" s="200"/>
      <c r="E72" s="200"/>
      <c r="F72" s="200"/>
      <c r="G72" s="200"/>
      <c r="H72" s="312"/>
      <c r="I72" s="147"/>
      <c r="J72" s="147"/>
      <c r="K72" s="147"/>
      <c r="L72" s="147"/>
      <c r="M72" s="147"/>
      <c r="N72" s="147"/>
      <c r="O72" s="317"/>
      <c r="P72" s="147"/>
      <c r="Q72" s="147"/>
      <c r="R72" s="147"/>
      <c r="S72" s="147"/>
      <c r="T72" s="147"/>
      <c r="U72" s="147"/>
      <c r="AK72" s="179"/>
      <c r="AL72" s="177"/>
      <c r="AM72" s="177"/>
    </row>
    <row r="73" spans="1:39" s="113" customFormat="1">
      <c r="A73" s="109"/>
      <c r="B73" s="200"/>
      <c r="C73" s="200"/>
      <c r="D73" s="200"/>
      <c r="E73" s="200"/>
      <c r="F73" s="200"/>
      <c r="G73" s="200"/>
      <c r="H73" s="312"/>
      <c r="I73" s="147"/>
      <c r="J73" s="147"/>
      <c r="K73" s="147"/>
      <c r="L73" s="147"/>
      <c r="M73" s="147"/>
      <c r="N73" s="147"/>
      <c r="O73" s="317"/>
      <c r="P73" s="147"/>
      <c r="Q73" s="147"/>
      <c r="R73" s="147"/>
      <c r="S73" s="147"/>
      <c r="T73" s="147"/>
      <c r="U73" s="147"/>
      <c r="AK73" s="179"/>
      <c r="AL73" s="177"/>
      <c r="AM73" s="177"/>
    </row>
    <row r="74" spans="1:39" s="113" customFormat="1">
      <c r="A74" s="109"/>
      <c r="B74" s="200"/>
      <c r="C74" s="200"/>
      <c r="D74" s="200"/>
      <c r="E74" s="200"/>
      <c r="F74" s="200"/>
      <c r="G74" s="200"/>
      <c r="H74" s="312"/>
      <c r="I74" s="147"/>
      <c r="J74" s="147"/>
      <c r="K74" s="147"/>
      <c r="L74" s="147"/>
      <c r="M74" s="147"/>
      <c r="N74" s="147"/>
      <c r="O74" s="317"/>
      <c r="P74" s="147"/>
      <c r="Q74" s="147"/>
      <c r="R74" s="147"/>
      <c r="S74" s="147"/>
      <c r="T74" s="147"/>
      <c r="U74" s="147"/>
      <c r="AK74" s="179"/>
      <c r="AL74" s="177"/>
      <c r="AM74" s="177"/>
    </row>
    <row r="75" spans="1:39" s="113" customFormat="1">
      <c r="A75" s="109"/>
      <c r="B75" s="200"/>
      <c r="C75" s="200"/>
      <c r="D75" s="200"/>
      <c r="E75" s="200"/>
      <c r="F75" s="200"/>
      <c r="G75" s="200"/>
      <c r="H75" s="312"/>
      <c r="I75" s="147"/>
      <c r="J75" s="147"/>
      <c r="K75" s="147"/>
      <c r="L75" s="147"/>
      <c r="M75" s="147"/>
      <c r="N75" s="147"/>
      <c r="O75" s="317"/>
      <c r="P75" s="147"/>
      <c r="Q75" s="147"/>
      <c r="R75" s="147"/>
      <c r="S75" s="147"/>
      <c r="T75" s="147"/>
      <c r="U75" s="147"/>
      <c r="AK75" s="179"/>
      <c r="AL75" s="177"/>
      <c r="AM75" s="177"/>
    </row>
    <row r="76" spans="1:39" s="113" customFormat="1">
      <c r="A76" s="109"/>
      <c r="B76" s="200"/>
      <c r="C76" s="200"/>
      <c r="D76" s="200"/>
      <c r="E76" s="200"/>
      <c r="F76" s="200"/>
      <c r="G76" s="200"/>
      <c r="H76" s="312"/>
      <c r="I76" s="147"/>
      <c r="J76" s="147"/>
      <c r="K76" s="147"/>
      <c r="L76" s="147"/>
      <c r="M76" s="147"/>
      <c r="N76" s="147"/>
      <c r="O76" s="317"/>
      <c r="P76" s="147"/>
      <c r="Q76" s="147"/>
      <c r="R76" s="147"/>
      <c r="S76" s="147"/>
      <c r="T76" s="147"/>
      <c r="U76" s="147"/>
      <c r="AK76" s="179"/>
      <c r="AL76" s="177"/>
      <c r="AM76" s="177"/>
    </row>
    <row r="77" spans="1:39" s="113" customFormat="1">
      <c r="A77" s="109"/>
      <c r="B77" s="200"/>
      <c r="C77" s="200"/>
      <c r="D77" s="200"/>
      <c r="E77" s="200"/>
      <c r="F77" s="200"/>
      <c r="G77" s="200"/>
      <c r="H77" s="312"/>
      <c r="I77" s="147"/>
      <c r="J77" s="147"/>
      <c r="K77" s="147"/>
      <c r="L77" s="147"/>
      <c r="M77" s="147"/>
      <c r="N77" s="147"/>
      <c r="O77" s="317"/>
      <c r="P77" s="147"/>
      <c r="Q77" s="147"/>
      <c r="R77" s="147"/>
      <c r="S77" s="147"/>
      <c r="T77" s="147"/>
      <c r="U77" s="147"/>
      <c r="AK77" s="179"/>
      <c r="AL77" s="177"/>
      <c r="AM77" s="177"/>
    </row>
    <row r="78" spans="1:39" s="113" customFormat="1">
      <c r="A78" s="109"/>
      <c r="B78" s="200"/>
      <c r="C78" s="200"/>
      <c r="D78" s="200"/>
      <c r="E78" s="200"/>
      <c r="F78" s="200"/>
      <c r="G78" s="200"/>
      <c r="H78" s="312"/>
      <c r="I78" s="147"/>
      <c r="J78" s="147"/>
      <c r="K78" s="147"/>
      <c r="L78" s="147"/>
      <c r="M78" s="147"/>
      <c r="N78" s="147"/>
      <c r="O78" s="317"/>
      <c r="P78" s="147"/>
      <c r="Q78" s="147"/>
      <c r="R78" s="147"/>
      <c r="S78" s="147"/>
      <c r="T78" s="147"/>
      <c r="U78" s="147"/>
      <c r="AK78" s="179"/>
      <c r="AL78" s="177"/>
      <c r="AM78" s="177"/>
    </row>
    <row r="79" spans="1:39" s="113" customFormat="1">
      <c r="A79" s="109"/>
      <c r="B79" s="200"/>
      <c r="C79" s="200"/>
      <c r="D79" s="200"/>
      <c r="E79" s="200"/>
      <c r="F79" s="200"/>
      <c r="G79" s="200"/>
      <c r="H79" s="312"/>
      <c r="I79" s="147"/>
      <c r="J79" s="147"/>
      <c r="K79" s="147"/>
      <c r="L79" s="147"/>
      <c r="M79" s="147"/>
      <c r="N79" s="147"/>
      <c r="O79" s="317"/>
      <c r="P79" s="147"/>
      <c r="Q79" s="147"/>
      <c r="R79" s="147"/>
      <c r="S79" s="147"/>
      <c r="T79" s="147"/>
      <c r="U79" s="147"/>
      <c r="AK79" s="179"/>
      <c r="AL79" s="177"/>
      <c r="AM79" s="177"/>
    </row>
    <row r="80" spans="1:39" s="113" customFormat="1">
      <c r="A80" s="109"/>
      <c r="B80" s="200"/>
      <c r="C80" s="200"/>
      <c r="D80" s="200"/>
      <c r="E80" s="200"/>
      <c r="F80" s="200"/>
      <c r="G80" s="200"/>
      <c r="H80" s="312"/>
      <c r="I80" s="147"/>
      <c r="J80" s="147"/>
      <c r="K80" s="147"/>
      <c r="L80" s="147"/>
      <c r="M80" s="147"/>
      <c r="N80" s="147"/>
      <c r="O80" s="317"/>
      <c r="P80" s="147"/>
      <c r="Q80" s="147"/>
      <c r="R80" s="147"/>
      <c r="S80" s="147"/>
      <c r="T80" s="147"/>
      <c r="U80" s="147"/>
      <c r="AK80" s="179"/>
      <c r="AL80" s="177"/>
      <c r="AM80" s="177"/>
    </row>
    <row r="81" spans="1:39" s="113" customFormat="1">
      <c r="A81" s="109"/>
      <c r="B81" s="200"/>
      <c r="C81" s="200"/>
      <c r="D81" s="200"/>
      <c r="E81" s="200"/>
      <c r="F81" s="200"/>
      <c r="G81" s="200"/>
      <c r="H81" s="312"/>
      <c r="I81" s="147"/>
      <c r="J81" s="147"/>
      <c r="K81" s="147"/>
      <c r="L81" s="147"/>
      <c r="M81" s="147"/>
      <c r="N81" s="147"/>
      <c r="O81" s="317"/>
      <c r="P81" s="147"/>
      <c r="Q81" s="147"/>
      <c r="R81" s="147"/>
      <c r="S81" s="147"/>
      <c r="T81" s="147"/>
      <c r="U81" s="147"/>
      <c r="AK81" s="179"/>
      <c r="AL81" s="177"/>
      <c r="AM81" s="177"/>
    </row>
    <row r="82" spans="1:39" s="113" customFormat="1">
      <c r="A82" s="109"/>
      <c r="B82" s="200"/>
      <c r="C82" s="200"/>
      <c r="D82" s="200"/>
      <c r="E82" s="200"/>
      <c r="F82" s="200"/>
      <c r="G82" s="200"/>
      <c r="H82" s="312"/>
      <c r="I82" s="147"/>
      <c r="J82" s="147"/>
      <c r="K82" s="147"/>
      <c r="L82" s="147"/>
      <c r="M82" s="147"/>
      <c r="N82" s="147"/>
      <c r="O82" s="317"/>
      <c r="P82" s="147"/>
      <c r="Q82" s="147"/>
      <c r="R82" s="147"/>
      <c r="S82" s="147"/>
      <c r="T82" s="147"/>
      <c r="U82" s="147"/>
      <c r="AK82" s="179"/>
      <c r="AL82" s="177"/>
      <c r="AM82" s="177"/>
    </row>
    <row r="83" spans="1:39" s="113" customFormat="1" ht="14.25" customHeight="1">
      <c r="A83" s="109"/>
      <c r="B83" s="201"/>
      <c r="C83" s="201"/>
      <c r="D83" s="201"/>
      <c r="E83" s="201"/>
      <c r="F83" s="201"/>
      <c r="G83" s="200"/>
      <c r="H83" s="312"/>
      <c r="I83" s="147"/>
      <c r="J83" s="147"/>
      <c r="K83" s="147"/>
      <c r="L83" s="147"/>
      <c r="M83" s="147"/>
      <c r="N83" s="147"/>
      <c r="O83" s="317"/>
      <c r="P83" s="147"/>
      <c r="Q83" s="147"/>
      <c r="R83" s="147"/>
      <c r="S83" s="147"/>
      <c r="T83" s="147"/>
      <c r="U83" s="147"/>
      <c r="AK83" s="179"/>
      <c r="AL83" s="177"/>
      <c r="AM83" s="177"/>
    </row>
    <row r="84" spans="1:39" s="113" customFormat="1" ht="14.25" customHeight="1">
      <c r="A84" s="109"/>
      <c r="B84" s="201"/>
      <c r="C84" s="201"/>
      <c r="D84" s="201"/>
      <c r="E84" s="201"/>
      <c r="F84" s="201"/>
      <c r="G84" s="200"/>
      <c r="H84" s="312"/>
      <c r="I84" s="147"/>
      <c r="J84" s="147"/>
      <c r="K84" s="147"/>
      <c r="L84" s="147"/>
      <c r="M84" s="147"/>
      <c r="N84" s="147"/>
      <c r="O84" s="317"/>
      <c r="P84" s="147"/>
      <c r="Q84" s="147"/>
      <c r="R84" s="147"/>
      <c r="S84" s="147"/>
      <c r="T84" s="147"/>
      <c r="U84" s="147"/>
      <c r="AK84" s="179"/>
      <c r="AL84" s="177"/>
      <c r="AM84" s="177"/>
    </row>
    <row r="85" spans="1:39" s="113" customFormat="1" ht="79.5" customHeight="1">
      <c r="A85" s="109"/>
      <c r="B85" s="201"/>
      <c r="C85" s="201"/>
      <c r="D85" s="201"/>
      <c r="E85" s="201"/>
      <c r="F85" s="201"/>
      <c r="G85" s="201"/>
      <c r="H85" s="312"/>
      <c r="I85" s="147"/>
      <c r="J85" s="147"/>
      <c r="K85" s="147"/>
      <c r="L85" s="147"/>
      <c r="M85" s="147"/>
      <c r="N85" s="147"/>
      <c r="O85" s="317"/>
      <c r="P85" s="147"/>
      <c r="Q85" s="147"/>
      <c r="R85" s="147"/>
      <c r="S85" s="147"/>
      <c r="T85" s="147"/>
      <c r="U85" s="147"/>
      <c r="AK85" s="179"/>
      <c r="AL85" s="177"/>
      <c r="AM85" s="177"/>
    </row>
    <row r="86" spans="1:39" s="113" customFormat="1" ht="79.5" customHeight="1">
      <c r="A86" s="109"/>
      <c r="B86" s="112"/>
      <c r="C86" s="112"/>
      <c r="D86" s="112"/>
      <c r="E86" s="112"/>
      <c r="F86" s="112"/>
      <c r="G86" s="201"/>
      <c r="H86" s="312"/>
      <c r="I86" s="147"/>
      <c r="J86" s="147"/>
      <c r="K86" s="147"/>
      <c r="L86" s="147"/>
      <c r="M86" s="147"/>
      <c r="N86" s="147"/>
      <c r="O86" s="317"/>
      <c r="P86" s="147"/>
      <c r="Q86" s="147"/>
      <c r="R86" s="147"/>
      <c r="S86" s="147"/>
      <c r="T86" s="147"/>
      <c r="U86" s="147"/>
      <c r="AK86" s="179"/>
      <c r="AL86" s="177"/>
      <c r="AM86" s="177"/>
    </row>
    <row r="87" spans="1:39" s="113" customFormat="1" ht="79.5" customHeight="1">
      <c r="A87" s="109"/>
      <c r="B87" s="112"/>
      <c r="C87" s="112"/>
      <c r="D87" s="112"/>
      <c r="E87" s="112"/>
      <c r="F87" s="112"/>
      <c r="G87" s="201"/>
      <c r="H87" s="312"/>
      <c r="I87" s="147"/>
      <c r="J87" s="147"/>
      <c r="K87" s="147"/>
      <c r="L87" s="147"/>
      <c r="M87" s="147"/>
      <c r="N87" s="147"/>
      <c r="O87" s="317"/>
      <c r="P87" s="147"/>
      <c r="Q87" s="147"/>
      <c r="R87" s="147"/>
      <c r="S87" s="147"/>
      <c r="T87" s="147"/>
      <c r="U87" s="147"/>
      <c r="AK87" s="179"/>
      <c r="AL87" s="177"/>
      <c r="AM87" s="177"/>
    </row>
    <row r="88" spans="1:39" s="113" customFormat="1" hidden="1">
      <c r="A88" s="108"/>
      <c r="B88" s="112"/>
      <c r="C88" s="112"/>
      <c r="D88" s="112"/>
      <c r="E88" s="112"/>
      <c r="F88" s="112"/>
      <c r="G88" s="112"/>
      <c r="H88" s="312"/>
      <c r="I88" s="147"/>
      <c r="J88" s="147"/>
      <c r="K88" s="147"/>
      <c r="L88" s="147"/>
      <c r="M88" s="147"/>
      <c r="N88" s="147"/>
      <c r="O88" s="317"/>
      <c r="P88" s="147"/>
      <c r="Q88" s="147"/>
      <c r="R88" s="147"/>
      <c r="S88" s="147"/>
      <c r="T88" s="147"/>
      <c r="U88" s="147"/>
      <c r="AK88" s="179"/>
      <c r="AL88" s="177"/>
      <c r="AM88" s="177"/>
    </row>
    <row r="89" spans="1:39" s="113" customFormat="1" hidden="1">
      <c r="A89" s="108"/>
      <c r="B89" s="112"/>
      <c r="C89" s="112"/>
      <c r="D89" s="112"/>
      <c r="E89" s="112"/>
      <c r="F89" s="112"/>
      <c r="G89" s="112"/>
      <c r="H89" s="312"/>
      <c r="I89" s="147"/>
      <c r="J89" s="147"/>
      <c r="K89" s="147"/>
      <c r="L89" s="147"/>
      <c r="M89" s="147"/>
      <c r="N89" s="147"/>
      <c r="O89" s="317"/>
      <c r="P89" s="147"/>
      <c r="Q89" s="147"/>
      <c r="R89" s="147"/>
      <c r="S89" s="147"/>
      <c r="T89" s="147"/>
      <c r="U89" s="147"/>
      <c r="AK89" s="179"/>
      <c r="AL89" s="177"/>
      <c r="AM89" s="177"/>
    </row>
    <row r="90" spans="1:39" s="113" customFormat="1" hidden="1">
      <c r="A90" s="109"/>
      <c r="B90" s="112"/>
      <c r="C90" s="112"/>
      <c r="D90" s="112"/>
      <c r="E90" s="112"/>
      <c r="F90" s="112"/>
      <c r="G90" s="112"/>
      <c r="H90" s="312"/>
      <c r="I90" s="147"/>
      <c r="J90" s="147"/>
      <c r="K90" s="147"/>
      <c r="L90" s="147"/>
      <c r="M90" s="147"/>
      <c r="N90" s="147"/>
      <c r="O90" s="317"/>
      <c r="P90" s="147"/>
      <c r="Q90" s="147"/>
      <c r="R90" s="147"/>
      <c r="S90" s="147"/>
      <c r="T90" s="147"/>
      <c r="U90" s="147"/>
      <c r="AK90" s="179"/>
      <c r="AL90" s="177"/>
      <c r="AM90" s="177"/>
    </row>
    <row r="91" spans="1:39" s="113" customFormat="1" hidden="1">
      <c r="A91" s="109"/>
      <c r="B91" s="112"/>
      <c r="C91" s="112"/>
      <c r="D91" s="112"/>
      <c r="E91" s="112"/>
      <c r="F91" s="112"/>
      <c r="G91" s="112"/>
      <c r="H91" s="312"/>
      <c r="I91" s="147"/>
      <c r="J91" s="147"/>
      <c r="K91" s="147"/>
      <c r="L91" s="147"/>
      <c r="M91" s="147"/>
      <c r="N91" s="147"/>
      <c r="O91" s="317"/>
      <c r="P91" s="147"/>
      <c r="Q91" s="147"/>
      <c r="R91" s="147"/>
      <c r="S91" s="147"/>
      <c r="T91" s="147"/>
      <c r="U91" s="147"/>
      <c r="AK91" s="179"/>
      <c r="AL91" s="177"/>
      <c r="AM91" s="177"/>
    </row>
    <row r="92" spans="1:39" s="113" customFormat="1" hidden="1">
      <c r="A92" s="109"/>
      <c r="B92" s="112"/>
      <c r="C92" s="112"/>
      <c r="D92" s="112"/>
      <c r="E92" s="112"/>
      <c r="F92" s="112"/>
      <c r="G92" s="112"/>
      <c r="H92" s="312"/>
      <c r="I92" s="147"/>
      <c r="J92" s="147"/>
      <c r="K92" s="147"/>
      <c r="L92" s="147"/>
      <c r="M92" s="147"/>
      <c r="N92" s="147"/>
      <c r="O92" s="317"/>
      <c r="P92" s="147"/>
      <c r="Q92" s="147"/>
      <c r="R92" s="147"/>
      <c r="S92" s="147"/>
      <c r="T92" s="147"/>
      <c r="U92" s="147"/>
      <c r="AK92" s="179"/>
      <c r="AL92" s="177"/>
      <c r="AM92" s="177"/>
    </row>
    <row r="93" spans="1:39" s="113" customFormat="1" hidden="1">
      <c r="A93" s="109"/>
      <c r="B93" s="112"/>
      <c r="C93" s="112"/>
      <c r="D93" s="112"/>
      <c r="E93" s="112"/>
      <c r="F93" s="112"/>
      <c r="G93" s="112"/>
      <c r="H93" s="312"/>
      <c r="I93" s="147"/>
      <c r="J93" s="147"/>
      <c r="K93" s="147"/>
      <c r="L93" s="147"/>
      <c r="M93" s="147"/>
      <c r="N93" s="147"/>
      <c r="O93" s="317"/>
      <c r="P93" s="147"/>
      <c r="Q93" s="147"/>
      <c r="R93" s="147"/>
      <c r="S93" s="147"/>
      <c r="T93" s="147"/>
      <c r="U93" s="147"/>
      <c r="AK93" s="179"/>
      <c r="AL93" s="177"/>
      <c r="AM93" s="177"/>
    </row>
    <row r="94" spans="1:39" s="113" customFormat="1" hidden="1">
      <c r="A94" s="109"/>
      <c r="B94" s="112"/>
      <c r="C94" s="112"/>
      <c r="D94" s="112"/>
      <c r="E94" s="112"/>
      <c r="F94" s="112"/>
      <c r="G94" s="112"/>
      <c r="H94" s="312"/>
      <c r="I94" s="147"/>
      <c r="J94" s="147"/>
      <c r="K94" s="147"/>
      <c r="L94" s="147"/>
      <c r="M94" s="147"/>
      <c r="N94" s="147"/>
      <c r="O94" s="317"/>
      <c r="P94" s="147"/>
      <c r="Q94" s="147"/>
      <c r="R94" s="147"/>
      <c r="S94" s="147"/>
      <c r="T94" s="147"/>
      <c r="U94" s="147"/>
      <c r="AK94" s="179"/>
      <c r="AL94" s="177"/>
      <c r="AM94" s="177"/>
    </row>
    <row r="95" spans="1:39" s="113" customFormat="1" hidden="1">
      <c r="A95" s="109"/>
      <c r="B95" s="112"/>
      <c r="C95" s="112"/>
      <c r="D95" s="112"/>
      <c r="E95" s="112"/>
      <c r="F95" s="112"/>
      <c r="G95" s="112"/>
      <c r="H95" s="312"/>
      <c r="I95" s="147"/>
      <c r="J95" s="147"/>
      <c r="K95" s="147"/>
      <c r="L95" s="147"/>
      <c r="M95" s="147"/>
      <c r="N95" s="147"/>
      <c r="O95" s="317"/>
      <c r="P95" s="147"/>
      <c r="Q95" s="147"/>
      <c r="R95" s="147"/>
      <c r="S95" s="147"/>
      <c r="T95" s="147"/>
      <c r="U95" s="147"/>
      <c r="AK95" s="179"/>
      <c r="AL95" s="177"/>
      <c r="AM95" s="177"/>
    </row>
    <row r="96" spans="1:39" s="113" customFormat="1" hidden="1">
      <c r="A96" s="109"/>
      <c r="B96" s="112"/>
      <c r="C96" s="112"/>
      <c r="D96" s="112"/>
      <c r="E96" s="112"/>
      <c r="F96" s="112"/>
      <c r="G96" s="112"/>
      <c r="H96" s="312"/>
      <c r="I96" s="147"/>
      <c r="J96" s="147"/>
      <c r="K96" s="147"/>
      <c r="L96" s="147"/>
      <c r="M96" s="147"/>
      <c r="N96" s="147"/>
      <c r="O96" s="317"/>
      <c r="P96" s="147"/>
      <c r="Q96" s="147"/>
      <c r="R96" s="147"/>
      <c r="S96" s="147"/>
      <c r="T96" s="147"/>
      <c r="U96" s="147"/>
      <c r="AK96" s="179"/>
      <c r="AL96" s="177"/>
      <c r="AM96" s="177"/>
    </row>
    <row r="97" spans="1:39" s="113" customFormat="1" hidden="1">
      <c r="A97" s="109"/>
      <c r="B97" s="112"/>
      <c r="C97" s="112"/>
      <c r="D97" s="112"/>
      <c r="E97" s="112"/>
      <c r="F97" s="112"/>
      <c r="G97" s="112"/>
      <c r="H97" s="312"/>
      <c r="I97" s="147"/>
      <c r="J97" s="147"/>
      <c r="K97" s="147"/>
      <c r="L97" s="147"/>
      <c r="M97" s="147"/>
      <c r="N97" s="147"/>
      <c r="O97" s="317"/>
      <c r="P97" s="147"/>
      <c r="Q97" s="147"/>
      <c r="R97" s="147"/>
      <c r="S97" s="147"/>
      <c r="T97" s="147"/>
      <c r="U97" s="147"/>
      <c r="AK97" s="179"/>
      <c r="AL97" s="177"/>
      <c r="AM97" s="177"/>
    </row>
    <row r="98" spans="1:39" s="113" customFormat="1" hidden="1">
      <c r="A98" s="109"/>
      <c r="B98" s="112"/>
      <c r="C98" s="112"/>
      <c r="D98" s="112"/>
      <c r="E98" s="112"/>
      <c r="F98" s="112"/>
      <c r="G98" s="112"/>
      <c r="H98" s="312"/>
      <c r="I98" s="147"/>
      <c r="J98" s="147"/>
      <c r="K98" s="147"/>
      <c r="L98" s="147"/>
      <c r="M98" s="147"/>
      <c r="N98" s="147"/>
      <c r="O98" s="317"/>
      <c r="P98" s="147"/>
      <c r="Q98" s="147"/>
      <c r="R98" s="147"/>
      <c r="S98" s="147"/>
      <c r="T98" s="147"/>
      <c r="U98" s="147"/>
      <c r="AK98" s="179"/>
      <c r="AL98" s="177"/>
      <c r="AM98" s="177"/>
    </row>
    <row r="99" spans="1:39" s="113" customFormat="1" hidden="1">
      <c r="A99" s="109"/>
      <c r="B99" s="112"/>
      <c r="C99" s="112"/>
      <c r="D99" s="112"/>
      <c r="E99" s="112"/>
      <c r="F99" s="112"/>
      <c r="G99" s="112"/>
      <c r="H99" s="312"/>
      <c r="I99" s="147"/>
      <c r="J99" s="147"/>
      <c r="K99" s="147"/>
      <c r="L99" s="147"/>
      <c r="M99" s="147"/>
      <c r="N99" s="147"/>
      <c r="O99" s="317"/>
      <c r="P99" s="147"/>
      <c r="Q99" s="147"/>
      <c r="R99" s="147"/>
      <c r="S99" s="147"/>
      <c r="T99" s="147"/>
      <c r="U99" s="147"/>
      <c r="AK99" s="179"/>
      <c r="AL99" s="177"/>
      <c r="AM99" s="177"/>
    </row>
    <row r="100" spans="1:39" s="113" customFormat="1" hidden="1">
      <c r="A100" s="109"/>
      <c r="B100" s="112"/>
      <c r="C100" s="112"/>
      <c r="D100" s="112"/>
      <c r="E100" s="112"/>
      <c r="F100" s="112"/>
      <c r="G100" s="112"/>
      <c r="H100" s="312"/>
      <c r="I100" s="147"/>
      <c r="J100" s="147"/>
      <c r="K100" s="147"/>
      <c r="L100" s="147"/>
      <c r="M100" s="147"/>
      <c r="N100" s="147"/>
      <c r="O100" s="317"/>
      <c r="P100" s="147"/>
      <c r="Q100" s="147"/>
      <c r="R100" s="147"/>
      <c r="S100" s="147"/>
      <c r="T100" s="147"/>
      <c r="U100" s="147"/>
      <c r="AK100" s="179"/>
      <c r="AL100" s="177"/>
      <c r="AM100" s="177"/>
    </row>
    <row r="101" spans="1:39" s="113" customFormat="1" hidden="1">
      <c r="A101" s="109"/>
      <c r="B101" s="112"/>
      <c r="C101" s="112"/>
      <c r="D101" s="112"/>
      <c r="E101" s="112"/>
      <c r="F101" s="112"/>
      <c r="G101" s="112"/>
      <c r="H101" s="312"/>
      <c r="I101" s="147"/>
      <c r="J101" s="147"/>
      <c r="K101" s="147"/>
      <c r="L101" s="147"/>
      <c r="M101" s="147"/>
      <c r="N101" s="147"/>
      <c r="O101" s="317"/>
      <c r="P101" s="147"/>
      <c r="Q101" s="147"/>
      <c r="R101" s="147"/>
      <c r="S101" s="147"/>
      <c r="T101" s="147"/>
      <c r="U101" s="147"/>
      <c r="AK101" s="179"/>
      <c r="AL101" s="177"/>
      <c r="AM101" s="177"/>
    </row>
    <row r="102" spans="1:39" s="113" customFormat="1" hidden="1">
      <c r="A102" s="109"/>
      <c r="B102" s="112"/>
      <c r="C102" s="112"/>
      <c r="D102" s="112"/>
      <c r="E102" s="112"/>
      <c r="F102" s="112"/>
      <c r="G102" s="112"/>
      <c r="H102" s="312"/>
      <c r="I102" s="147"/>
      <c r="J102" s="147"/>
      <c r="K102" s="147"/>
      <c r="L102" s="147"/>
      <c r="M102" s="147"/>
      <c r="N102" s="147"/>
      <c r="O102" s="317"/>
      <c r="P102" s="147"/>
      <c r="Q102" s="147"/>
      <c r="R102" s="147"/>
      <c r="S102" s="147"/>
      <c r="T102" s="147"/>
      <c r="U102" s="147"/>
      <c r="AK102" s="179"/>
      <c r="AL102" s="177"/>
      <c r="AM102" s="177"/>
    </row>
    <row r="103" spans="1:39" s="113" customFormat="1" hidden="1">
      <c r="A103" s="109"/>
      <c r="B103" s="112"/>
      <c r="C103" s="112"/>
      <c r="D103" s="112"/>
      <c r="E103" s="112"/>
      <c r="F103" s="112"/>
      <c r="G103" s="112"/>
      <c r="H103" s="312"/>
      <c r="I103" s="147"/>
      <c r="J103" s="147"/>
      <c r="K103" s="147"/>
      <c r="L103" s="147"/>
      <c r="M103" s="147"/>
      <c r="N103" s="147"/>
      <c r="O103" s="317"/>
      <c r="P103" s="147"/>
      <c r="Q103" s="147"/>
      <c r="R103" s="147"/>
      <c r="S103" s="147"/>
      <c r="T103" s="147"/>
      <c r="U103" s="147"/>
      <c r="AK103" s="179"/>
      <c r="AL103" s="177"/>
      <c r="AM103" s="177"/>
    </row>
    <row r="104" spans="1:39" s="113" customFormat="1" hidden="1">
      <c r="A104" s="109"/>
      <c r="B104" s="112"/>
      <c r="C104" s="112"/>
      <c r="D104" s="112"/>
      <c r="E104" s="112"/>
      <c r="F104" s="112"/>
      <c r="G104" s="112"/>
      <c r="H104" s="312"/>
      <c r="I104" s="147"/>
      <c r="J104" s="147"/>
      <c r="K104" s="147"/>
      <c r="L104" s="147"/>
      <c r="M104" s="147"/>
      <c r="N104" s="147"/>
      <c r="O104" s="317"/>
      <c r="P104" s="147"/>
      <c r="Q104" s="147"/>
      <c r="R104" s="147"/>
      <c r="S104" s="147"/>
      <c r="T104" s="147"/>
      <c r="U104" s="147"/>
      <c r="AK104" s="179"/>
      <c r="AL104" s="177"/>
      <c r="AM104" s="177"/>
    </row>
    <row r="105" spans="1:39" s="113" customFormat="1" hidden="1">
      <c r="A105" s="109"/>
      <c r="B105" s="112"/>
      <c r="C105" s="112"/>
      <c r="D105" s="112"/>
      <c r="E105" s="112"/>
      <c r="F105" s="112"/>
      <c r="G105" s="112"/>
      <c r="H105" s="312"/>
      <c r="I105" s="147"/>
      <c r="J105" s="147"/>
      <c r="K105" s="147"/>
      <c r="L105" s="147"/>
      <c r="M105" s="147"/>
      <c r="N105" s="147"/>
      <c r="O105" s="317"/>
      <c r="P105" s="147"/>
      <c r="Q105" s="147"/>
      <c r="R105" s="147"/>
      <c r="S105" s="147"/>
      <c r="T105" s="147"/>
      <c r="U105" s="147"/>
      <c r="AK105" s="179"/>
      <c r="AL105" s="177"/>
      <c r="AM105" s="177"/>
    </row>
    <row r="106" spans="1:39" s="113" customFormat="1" hidden="1">
      <c r="A106" s="109"/>
      <c r="B106" s="112"/>
      <c r="C106" s="112"/>
      <c r="D106" s="112"/>
      <c r="E106" s="112"/>
      <c r="F106" s="112"/>
      <c r="G106" s="112"/>
      <c r="H106" s="312"/>
      <c r="I106" s="147"/>
      <c r="J106" s="147"/>
      <c r="K106" s="147"/>
      <c r="L106" s="147"/>
      <c r="M106" s="147"/>
      <c r="N106" s="147"/>
      <c r="O106" s="317"/>
      <c r="P106" s="147"/>
      <c r="Q106" s="147"/>
      <c r="R106" s="147"/>
      <c r="S106" s="147"/>
      <c r="T106" s="147"/>
      <c r="U106" s="147"/>
      <c r="AK106" s="179"/>
      <c r="AL106" s="177"/>
      <c r="AM106" s="177"/>
    </row>
    <row r="107" spans="1:39" s="113" customFormat="1" hidden="1">
      <c r="A107" s="109"/>
      <c r="B107" s="112"/>
      <c r="C107" s="112"/>
      <c r="D107" s="112"/>
      <c r="E107" s="112"/>
      <c r="F107" s="112"/>
      <c r="G107" s="112"/>
      <c r="H107" s="312"/>
      <c r="I107" s="147"/>
      <c r="J107" s="147"/>
      <c r="K107" s="147"/>
      <c r="L107" s="147"/>
      <c r="M107" s="147"/>
      <c r="N107" s="147"/>
      <c r="O107" s="317"/>
      <c r="P107" s="147"/>
      <c r="Q107" s="147"/>
      <c r="R107" s="147"/>
      <c r="S107" s="147"/>
      <c r="T107" s="147"/>
      <c r="U107" s="147"/>
      <c r="AK107" s="179"/>
      <c r="AL107" s="177"/>
      <c r="AM107" s="177"/>
    </row>
    <row r="108" spans="1:39" s="113" customFormat="1" hidden="1">
      <c r="A108" s="109"/>
      <c r="B108" s="112"/>
      <c r="C108" s="112"/>
      <c r="D108" s="112"/>
      <c r="E108" s="112"/>
      <c r="F108" s="112"/>
      <c r="G108" s="112"/>
      <c r="H108" s="312"/>
      <c r="I108" s="147"/>
      <c r="J108" s="147"/>
      <c r="K108" s="147"/>
      <c r="L108" s="147"/>
      <c r="M108" s="147"/>
      <c r="N108" s="147"/>
      <c r="O108" s="317"/>
      <c r="P108" s="147"/>
      <c r="Q108" s="147"/>
      <c r="R108" s="147"/>
      <c r="S108" s="147"/>
      <c r="T108" s="147"/>
      <c r="U108" s="147"/>
      <c r="AK108" s="179"/>
      <c r="AL108" s="177"/>
      <c r="AM108" s="177"/>
    </row>
    <row r="109" spans="1:39" s="113" customFormat="1" hidden="1">
      <c r="A109" s="109"/>
      <c r="B109" s="112"/>
      <c r="C109" s="112"/>
      <c r="D109" s="112"/>
      <c r="E109" s="112"/>
      <c r="F109" s="112"/>
      <c r="G109" s="112"/>
      <c r="H109" s="312"/>
      <c r="I109" s="147"/>
      <c r="J109" s="147"/>
      <c r="K109" s="147"/>
      <c r="L109" s="147"/>
      <c r="M109" s="147"/>
      <c r="N109" s="147"/>
      <c r="O109" s="317"/>
      <c r="P109" s="147"/>
      <c r="Q109" s="147"/>
      <c r="R109" s="147"/>
      <c r="S109" s="147"/>
      <c r="T109" s="147"/>
      <c r="U109" s="147"/>
      <c r="AK109" s="179"/>
      <c r="AL109" s="177"/>
      <c r="AM109" s="177"/>
    </row>
    <row r="110" spans="1:39" s="113" customFormat="1" hidden="1">
      <c r="A110" s="109"/>
      <c r="B110" s="112"/>
      <c r="C110" s="112"/>
      <c r="D110" s="112"/>
      <c r="E110" s="112"/>
      <c r="F110" s="112"/>
      <c r="G110" s="112"/>
      <c r="H110" s="312"/>
      <c r="I110" s="147"/>
      <c r="J110" s="147"/>
      <c r="K110" s="147"/>
      <c r="L110" s="147"/>
      <c r="M110" s="147"/>
      <c r="N110" s="147"/>
      <c r="O110" s="317"/>
      <c r="P110" s="147"/>
      <c r="Q110" s="147"/>
      <c r="R110" s="147"/>
      <c r="S110" s="147"/>
      <c r="T110" s="147"/>
      <c r="U110" s="147"/>
      <c r="AK110" s="179"/>
      <c r="AL110" s="177"/>
      <c r="AM110" s="177"/>
    </row>
    <row r="111" spans="1:39" s="113" customFormat="1" hidden="1">
      <c r="A111" s="109"/>
      <c r="B111" s="112"/>
      <c r="C111" s="112"/>
      <c r="D111" s="112"/>
      <c r="E111" s="112"/>
      <c r="F111" s="112"/>
      <c r="G111" s="112"/>
      <c r="H111" s="312"/>
      <c r="I111" s="147"/>
      <c r="J111" s="147"/>
      <c r="K111" s="147"/>
      <c r="L111" s="147"/>
      <c r="M111" s="147"/>
      <c r="N111" s="147"/>
      <c r="O111" s="317"/>
      <c r="P111" s="147"/>
      <c r="Q111" s="147"/>
      <c r="R111" s="147"/>
      <c r="S111" s="147"/>
      <c r="T111" s="147"/>
      <c r="U111" s="147"/>
      <c r="AK111" s="179"/>
      <c r="AL111" s="177"/>
      <c r="AM111" s="177"/>
    </row>
    <row r="112" spans="1:39" s="113" customFormat="1" hidden="1">
      <c r="A112" s="109"/>
      <c r="B112" s="112"/>
      <c r="C112" s="112"/>
      <c r="D112" s="112"/>
      <c r="E112" s="112"/>
      <c r="F112" s="112"/>
      <c r="G112" s="112"/>
      <c r="H112" s="312"/>
      <c r="I112" s="147"/>
      <c r="J112" s="147"/>
      <c r="K112" s="147"/>
      <c r="L112" s="147"/>
      <c r="M112" s="147"/>
      <c r="N112" s="147"/>
      <c r="O112" s="317"/>
      <c r="P112" s="147"/>
      <c r="Q112" s="147"/>
      <c r="R112" s="147"/>
      <c r="S112" s="147"/>
      <c r="T112" s="147"/>
      <c r="U112" s="147"/>
      <c r="AK112" s="179"/>
      <c r="AL112" s="177"/>
      <c r="AM112" s="177"/>
    </row>
    <row r="113" spans="1:39" s="113" customFormat="1" hidden="1">
      <c r="A113" s="109"/>
      <c r="B113" s="112"/>
      <c r="C113" s="112"/>
      <c r="D113" s="112"/>
      <c r="E113" s="112"/>
      <c r="F113" s="112"/>
      <c r="G113" s="112"/>
      <c r="H113" s="312"/>
      <c r="I113" s="147"/>
      <c r="J113" s="147"/>
      <c r="K113" s="147"/>
      <c r="L113" s="147"/>
      <c r="M113" s="147"/>
      <c r="N113" s="147"/>
      <c r="O113" s="317"/>
      <c r="P113" s="147"/>
      <c r="Q113" s="147"/>
      <c r="R113" s="147"/>
      <c r="S113" s="147"/>
      <c r="T113" s="147"/>
      <c r="U113" s="147"/>
      <c r="AK113" s="179"/>
      <c r="AL113" s="177"/>
      <c r="AM113" s="177"/>
    </row>
    <row r="114" spans="1:39" s="113" customFormat="1" hidden="1">
      <c r="A114" s="109"/>
      <c r="B114" s="112"/>
      <c r="C114" s="112"/>
      <c r="D114" s="112"/>
      <c r="E114" s="112"/>
      <c r="F114" s="112"/>
      <c r="G114" s="112"/>
      <c r="H114" s="312"/>
      <c r="I114" s="147"/>
      <c r="J114" s="147"/>
      <c r="K114" s="147"/>
      <c r="L114" s="147"/>
      <c r="M114" s="147"/>
      <c r="N114" s="147"/>
      <c r="O114" s="317"/>
      <c r="P114" s="147"/>
      <c r="Q114" s="147"/>
      <c r="R114" s="147"/>
      <c r="S114" s="147"/>
      <c r="T114" s="147"/>
      <c r="U114" s="147"/>
      <c r="AK114" s="179"/>
      <c r="AL114" s="177"/>
      <c r="AM114" s="177"/>
    </row>
    <row r="115" spans="1:39" s="113" customFormat="1" hidden="1">
      <c r="A115" s="109"/>
      <c r="B115" s="112"/>
      <c r="C115" s="112"/>
      <c r="D115" s="112"/>
      <c r="E115" s="112"/>
      <c r="F115" s="112"/>
      <c r="G115" s="112"/>
      <c r="H115" s="312"/>
      <c r="I115" s="147"/>
      <c r="J115" s="147"/>
      <c r="K115" s="147"/>
      <c r="L115" s="147"/>
      <c r="M115" s="147"/>
      <c r="N115" s="147"/>
      <c r="O115" s="317"/>
      <c r="P115" s="147"/>
      <c r="Q115" s="147"/>
      <c r="R115" s="147"/>
      <c r="S115" s="147"/>
      <c r="T115" s="147"/>
      <c r="U115" s="147"/>
      <c r="AK115" s="179"/>
      <c r="AL115" s="177"/>
      <c r="AM115" s="177"/>
    </row>
    <row r="116" spans="1:39" s="113" customFormat="1" hidden="1">
      <c r="A116" s="109"/>
      <c r="B116" s="112"/>
      <c r="C116" s="112"/>
      <c r="D116" s="112"/>
      <c r="E116" s="112"/>
      <c r="F116" s="112"/>
      <c r="G116" s="112"/>
      <c r="H116" s="312"/>
      <c r="I116" s="147"/>
      <c r="J116" s="147"/>
      <c r="K116" s="147"/>
      <c r="L116" s="147"/>
      <c r="M116" s="147"/>
      <c r="N116" s="147"/>
      <c r="O116" s="317"/>
      <c r="P116" s="147"/>
      <c r="Q116" s="147"/>
      <c r="R116" s="147"/>
      <c r="S116" s="147"/>
      <c r="T116" s="147"/>
      <c r="U116" s="147"/>
      <c r="AK116" s="179"/>
      <c r="AL116" s="177"/>
      <c r="AM116" s="177"/>
    </row>
    <row r="117" spans="1:39" s="113" customFormat="1" hidden="1">
      <c r="A117" s="109"/>
      <c r="B117" s="112"/>
      <c r="C117" s="112"/>
      <c r="D117" s="112"/>
      <c r="E117" s="112"/>
      <c r="F117" s="112"/>
      <c r="G117" s="112"/>
      <c r="H117" s="312"/>
      <c r="I117" s="147"/>
      <c r="J117" s="147"/>
      <c r="K117" s="147"/>
      <c r="L117" s="147"/>
      <c r="M117" s="147"/>
      <c r="N117" s="147"/>
      <c r="O117" s="317"/>
      <c r="P117" s="147"/>
      <c r="Q117" s="147"/>
      <c r="R117" s="147"/>
      <c r="S117" s="147"/>
      <c r="T117" s="147"/>
      <c r="U117" s="147"/>
      <c r="AK117" s="179"/>
      <c r="AL117" s="177"/>
      <c r="AM117" s="177"/>
    </row>
    <row r="118" spans="1:39" s="113" customFormat="1" hidden="1">
      <c r="A118" s="109"/>
      <c r="B118" s="112"/>
      <c r="C118" s="112"/>
      <c r="D118" s="112"/>
      <c r="E118" s="112"/>
      <c r="F118" s="112"/>
      <c r="G118" s="112"/>
      <c r="H118" s="92"/>
      <c r="O118" s="135"/>
      <c r="AK118" s="179"/>
      <c r="AL118" s="177"/>
      <c r="AM118" s="177"/>
    </row>
    <row r="119" spans="1:39" s="113" customFormat="1" hidden="1">
      <c r="A119" s="109"/>
      <c r="B119" s="112"/>
      <c r="C119" s="112"/>
      <c r="D119" s="112"/>
      <c r="E119" s="112"/>
      <c r="F119" s="112"/>
      <c r="G119" s="112"/>
      <c r="H119" s="92"/>
      <c r="O119" s="135"/>
      <c r="AK119" s="179"/>
      <c r="AL119" s="177"/>
      <c r="AM119" s="177"/>
    </row>
    <row r="120" spans="1:39" s="113" customFormat="1" hidden="1">
      <c r="A120" s="109"/>
      <c r="B120" s="106"/>
      <c r="C120" s="106"/>
      <c r="D120" s="106"/>
      <c r="E120" s="106"/>
      <c r="F120" s="112"/>
      <c r="G120" s="112"/>
      <c r="H120" s="92"/>
      <c r="O120" s="135"/>
      <c r="AK120" s="179"/>
      <c r="AL120" s="177"/>
      <c r="AM120" s="177"/>
    </row>
    <row r="121" spans="1:39" s="113" customFormat="1" hidden="1">
      <c r="A121" s="109"/>
      <c r="B121" s="106"/>
      <c r="C121" s="106"/>
      <c r="D121" s="106"/>
      <c r="E121" s="106"/>
      <c r="F121" s="112"/>
      <c r="G121" s="112"/>
      <c r="H121" s="92"/>
      <c r="O121" s="135"/>
      <c r="AK121" s="179"/>
      <c r="AL121" s="177"/>
      <c r="AM121" s="177"/>
    </row>
  </sheetData>
  <sheetProtection formatCells="0" formatColumns="0" formatRows="0" insertRows="0" deleteRows="0"/>
  <autoFilter ref="A8:AQ8" xr:uid="{B52C0DA3-F672-49D7-B0E5-5E3CB3A3A34C}"/>
  <mergeCells count="5">
    <mergeCell ref="A7:B7"/>
    <mergeCell ref="A6:B6"/>
    <mergeCell ref="F6:G6"/>
    <mergeCell ref="F7:V7"/>
    <mergeCell ref="Y7:AE7"/>
  </mergeCells>
  <dataValidations count="3">
    <dataValidation type="list" allowBlank="1" showInputMessage="1" showErrorMessage="1" sqref="P9:P57" xr:uid="{B3483B85-06C2-4A03-BBCD-616A1355492D}">
      <formula1>$P$61:$P$63</formula1>
    </dataValidation>
    <dataValidation type="list" allowBlank="1" showInputMessage="1" showErrorMessage="1" sqref="E9:E57" xr:uid="{3D8EE670-8456-4A0F-9216-B2EBCAAD3F5E}">
      <formula1>$E$64:$E$66</formula1>
    </dataValidation>
    <dataValidation type="list" allowBlank="1" showInputMessage="1" showErrorMessage="1" sqref="F9:F57" xr:uid="{F7C4ECFE-397A-43AE-B94E-BC1AC40515FE}">
      <formula1>$F$64:$F$70</formula1>
    </dataValidation>
  </dataValidations>
  <printOptions horizontalCentered="1" verticalCentered="1"/>
  <pageMargins left="0.25" right="0.25" top="0.75" bottom="0.75" header="0.3" footer="0.3"/>
  <pageSetup paperSize="17" scale="47" fitToWidth="0" orientation="landscape" r:id="rId1"/>
  <headerFooter>
    <oddFooter>Page &amp;P&amp;R&amp;A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V r U V j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G V a 1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W t R W K I p H u A 4 A A A A R A A A A E w A c A E Z v c m 1 1 b G F z L 1 N l Y 3 R p b 2 4 x L m 0 g o h g A K K A U A A A A A A A A A A A A A A A A A A A A A A A A A A A A K 0 5 N L s n M z 1 M I h t C G 1 g B Q S w E C L Q A U A A I A C A B l W t R W P G q C Y 6 U A A A D 2 A A A A E g A A A A A A A A A A A A A A A A A A A A A A Q 2 9 u Z m l n L 1 B h Y 2 t h Z 2 U u e G 1 s U E s B A i 0 A F A A C A A g A Z V r U V g / K 6 a u k A A A A 6 Q A A A B M A A A A A A A A A A A A A A A A A 8 Q A A A F t D b 2 5 0 Z W 5 0 X 1 R 5 c G V z X S 5 4 b W x Q S w E C L Q A U A A I A C A B l W t R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w z D t 3 m E E y x r u 7 8 8 j i R w A A A A A A C A A A A A A A D Z g A A w A A A A B A A A A D C d P P x + p f w 7 p L V I 3 0 7 W V t 4 A A A A A A S A A A C g A A A A E A A A A D L i W / U C e E L P z V u a G C i X J A 9 Q A A A A D s 7 A P w M N a D K a E y 1 H 8 c d N 4 u b I R k + + f b z P H Z a d b p S X N m y 4 + c W m 9 P R Z X Q z h 9 4 B m S P f B 9 B b y t p B c G C W p 9 C z P d z S 9 7 N P 0 p X f m A w 3 + e B l R Q F H A 5 u E U A A A A D 1 b 9 5 + K 7 5 Z Q l V d f z o o i y w b 1 u v 9 M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059C5C-8F44-4513-8969-9E2BC6D49D5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587AED2-8FE9-4C8D-A163-B2D4787015C6}"/>
</file>

<file path=customXml/itemProps3.xml><?xml version="1.0" encoding="utf-8"?>
<ds:datastoreItem xmlns:ds="http://schemas.openxmlformats.org/officeDocument/2006/customXml" ds:itemID="{CF002B8D-DD4F-41F5-9FE0-6A54BD8540B5}"/>
</file>

<file path=customXml/itemProps4.xml><?xml version="1.0" encoding="utf-8"?>
<ds:datastoreItem xmlns:ds="http://schemas.openxmlformats.org/officeDocument/2006/customXml" ds:itemID="{23B3AC18-C3EF-4744-9BD3-EB6F8D342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Schedule</vt:lpstr>
      <vt:lpstr>Project Wide Estimates</vt:lpstr>
      <vt:lpstr>Property Comparables</vt:lpstr>
      <vt:lpstr>Individual Parcel Estimate</vt:lpstr>
      <vt:lpstr>Delivery Hours</vt:lpstr>
      <vt:lpstr>Conclusion</vt:lpstr>
      <vt:lpstr>Parcel Scoping Checklist</vt:lpstr>
      <vt:lpstr>In_house</vt:lpstr>
      <vt:lpstr>ParcelType</vt:lpstr>
      <vt:lpstr>'Individual Parcel Estimate'!Print_Titles</vt:lpstr>
      <vt:lpstr>'Parcel Scoping Checklist'!Print_Titles</vt:lpstr>
      <vt:lpstr>PropertyType</vt:lpstr>
      <vt:lpstr>PropType</vt:lpstr>
      <vt:lpstr>Who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 web project scoping w acq and formulas</dc:title>
  <dc:subject/>
  <dc:creator>Department of Transportation;WisDOT</dc:creator>
  <cp:keywords/>
  <dc:description/>
  <cp:lastModifiedBy>WALTERS, NATHAN</cp:lastModifiedBy>
  <cp:revision/>
  <cp:lastPrinted>2022-05-16T15:39:47Z</cp:lastPrinted>
  <dcterms:created xsi:type="dcterms:W3CDTF">1998-05-22T15:34:26Z</dcterms:created>
  <dcterms:modified xsi:type="dcterms:W3CDTF">2023-06-27T19:57:00Z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