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SS\Utilities\Conferences SW Region &amp; Statewide (Utility)\2020 spreadsheets\Local\"/>
    </mc:Choice>
  </mc:AlternateContent>
  <xr:revisionPtr revIDLastSave="0" documentId="10_ncr:100000_{7C7FA9A5-FB42-4CA6-8797-3D9F4F348940}" xr6:coauthVersionLast="31" xr6:coauthVersionMax="31" xr10:uidLastSave="{00000000-0000-0000-0000-000000000000}"/>
  <bookViews>
    <workbookView xWindow="0" yWindow="0" windowWidth="24870" windowHeight="10830" xr2:uid="{00000000-000D-0000-FFFF-FFFF00000000}"/>
  </bookViews>
  <sheets>
    <sheet name="1.7.20 Localreport" sheetId="1" r:id="rId1"/>
  </sheets>
  <definedNames>
    <definedName name="_xlnm.Print_Area" localSheetId="0">'1.7.20 Localreport'!$A$1:$J$120</definedName>
  </definedNames>
  <calcPr calcId="179017"/>
</workbook>
</file>

<file path=xl/calcChain.xml><?xml version="1.0" encoding="utf-8"?>
<calcChain xmlns="http://schemas.openxmlformats.org/spreadsheetml/2006/main">
  <c r="I108" i="1" l="1"/>
  <c r="A108" i="1"/>
  <c r="A71" i="1"/>
  <c r="B96" i="1" l="1"/>
  <c r="C96" i="1"/>
  <c r="F96" i="1"/>
  <c r="G96" i="1"/>
  <c r="H96" i="1"/>
  <c r="I96" i="1"/>
  <c r="A96" i="1"/>
  <c r="B102" i="1"/>
  <c r="C102" i="1"/>
  <c r="F102" i="1"/>
  <c r="G102" i="1"/>
  <c r="H102" i="1"/>
  <c r="I102" i="1"/>
  <c r="A102" i="1"/>
  <c r="B104" i="1"/>
  <c r="C104" i="1"/>
  <c r="F104" i="1"/>
  <c r="G104" i="1"/>
  <c r="H104" i="1"/>
  <c r="I104" i="1"/>
  <c r="A104" i="1"/>
  <c r="B95" i="1"/>
  <c r="C95" i="1"/>
  <c r="F95" i="1"/>
  <c r="G95" i="1"/>
  <c r="H95" i="1"/>
  <c r="I95" i="1"/>
  <c r="A95" i="1"/>
  <c r="B34" i="1"/>
  <c r="C34" i="1"/>
  <c r="F34" i="1"/>
  <c r="G34" i="1"/>
  <c r="H34" i="1"/>
  <c r="I34" i="1"/>
  <c r="A34" i="1"/>
  <c r="B35" i="1"/>
  <c r="C35" i="1"/>
  <c r="F35" i="1"/>
  <c r="G35" i="1"/>
  <c r="H35" i="1"/>
  <c r="I35" i="1"/>
  <c r="A35" i="1"/>
  <c r="B36" i="1"/>
  <c r="C36" i="1"/>
  <c r="F36" i="1"/>
  <c r="G36" i="1"/>
  <c r="H36" i="1"/>
  <c r="I36" i="1"/>
  <c r="A36" i="1"/>
  <c r="B31" i="1"/>
  <c r="C31" i="1"/>
  <c r="F31" i="1"/>
  <c r="G31" i="1"/>
  <c r="H31" i="1"/>
  <c r="I31" i="1"/>
  <c r="A31" i="1"/>
  <c r="B70" i="1"/>
  <c r="C70" i="1"/>
  <c r="F70" i="1"/>
  <c r="G70" i="1"/>
  <c r="H70" i="1"/>
  <c r="I70" i="1"/>
  <c r="A70" i="1"/>
  <c r="B103" i="1"/>
  <c r="C103" i="1"/>
  <c r="F103" i="1"/>
  <c r="G103" i="1"/>
  <c r="H103" i="1"/>
  <c r="I103" i="1"/>
  <c r="A103" i="1"/>
  <c r="B48" i="1"/>
  <c r="C48" i="1"/>
  <c r="F48" i="1"/>
  <c r="G48" i="1"/>
  <c r="H48" i="1"/>
  <c r="I48" i="1"/>
  <c r="A48" i="1"/>
  <c r="B49" i="1"/>
  <c r="C49" i="1"/>
  <c r="F49" i="1"/>
  <c r="G49" i="1"/>
  <c r="H49" i="1"/>
  <c r="I49" i="1"/>
  <c r="A49" i="1"/>
  <c r="B44" i="1"/>
  <c r="C44" i="1"/>
  <c r="F44" i="1"/>
  <c r="G44" i="1"/>
  <c r="H44" i="1"/>
  <c r="I44" i="1"/>
  <c r="A44" i="1"/>
  <c r="B45" i="1"/>
  <c r="C45" i="1"/>
  <c r="F45" i="1"/>
  <c r="G45" i="1"/>
  <c r="H45" i="1"/>
  <c r="I45" i="1"/>
  <c r="A45" i="1"/>
  <c r="B46" i="1"/>
  <c r="C46" i="1"/>
  <c r="F46" i="1"/>
  <c r="G46" i="1"/>
  <c r="H46" i="1"/>
  <c r="I46" i="1"/>
  <c r="A46" i="1"/>
  <c r="B47" i="1"/>
  <c r="C47" i="1"/>
  <c r="F47" i="1"/>
  <c r="G47" i="1"/>
  <c r="H47" i="1"/>
  <c r="I47" i="1"/>
  <c r="A47" i="1"/>
  <c r="B50" i="1"/>
  <c r="C50" i="1"/>
  <c r="F50" i="1"/>
  <c r="G50" i="1"/>
  <c r="H50" i="1"/>
  <c r="I50" i="1"/>
  <c r="A50" i="1"/>
  <c r="B85" i="1"/>
  <c r="C85" i="1"/>
  <c r="F85" i="1"/>
  <c r="G85" i="1"/>
  <c r="H85" i="1"/>
  <c r="I85" i="1"/>
  <c r="A85" i="1"/>
  <c r="B90" i="1"/>
  <c r="C90" i="1"/>
  <c r="F90" i="1"/>
  <c r="G90" i="1"/>
  <c r="H90" i="1"/>
  <c r="I90" i="1"/>
  <c r="A90" i="1"/>
  <c r="B77" i="1"/>
  <c r="C77" i="1"/>
  <c r="F77" i="1"/>
  <c r="G77" i="1"/>
  <c r="H77" i="1"/>
  <c r="I77" i="1"/>
  <c r="A77" i="1"/>
  <c r="B112" i="1"/>
  <c r="C112" i="1"/>
  <c r="F112" i="1"/>
  <c r="G112" i="1"/>
  <c r="H112" i="1"/>
  <c r="I112" i="1"/>
  <c r="A112" i="1"/>
  <c r="B60" i="1"/>
  <c r="C60" i="1"/>
  <c r="F60" i="1"/>
  <c r="G60" i="1"/>
  <c r="H60" i="1"/>
  <c r="I60" i="1"/>
  <c r="A60" i="1"/>
  <c r="B114" i="1"/>
  <c r="C114" i="1"/>
  <c r="F114" i="1"/>
  <c r="G114" i="1"/>
  <c r="H114" i="1"/>
  <c r="I114" i="1"/>
  <c r="A114" i="1"/>
  <c r="B10" i="1"/>
  <c r="C10" i="1"/>
  <c r="F10" i="1"/>
  <c r="G10" i="1"/>
  <c r="H10" i="1"/>
  <c r="I10" i="1"/>
  <c r="A10" i="1"/>
  <c r="B15" i="1"/>
  <c r="C15" i="1"/>
  <c r="F15" i="1"/>
  <c r="G15" i="1"/>
  <c r="H15" i="1"/>
  <c r="I15" i="1"/>
  <c r="A15" i="1"/>
  <c r="B9" i="1"/>
  <c r="C9" i="1"/>
  <c r="F9" i="1"/>
  <c r="G9" i="1"/>
  <c r="H9" i="1"/>
  <c r="I9" i="1"/>
  <c r="A9" i="1"/>
  <c r="B11" i="1"/>
  <c r="C11" i="1"/>
  <c r="F11" i="1"/>
  <c r="G11" i="1"/>
  <c r="H11" i="1"/>
  <c r="I11" i="1"/>
  <c r="A11" i="1"/>
  <c r="B105" i="1"/>
  <c r="C105" i="1"/>
  <c r="F105" i="1"/>
  <c r="G105" i="1"/>
  <c r="H105" i="1"/>
  <c r="I105" i="1"/>
  <c r="A105" i="1"/>
  <c r="B12" i="1"/>
  <c r="C12" i="1"/>
  <c r="F12" i="1"/>
  <c r="G12" i="1"/>
  <c r="H12" i="1"/>
  <c r="I12" i="1"/>
  <c r="A12" i="1"/>
  <c r="B120" i="1"/>
  <c r="C120" i="1"/>
  <c r="F120" i="1"/>
  <c r="G120" i="1"/>
  <c r="H120" i="1"/>
  <c r="I120" i="1"/>
  <c r="A120" i="1"/>
  <c r="B13" i="1"/>
  <c r="C13" i="1"/>
  <c r="F13" i="1"/>
  <c r="G13" i="1"/>
  <c r="H13" i="1"/>
  <c r="I13" i="1"/>
  <c r="A13" i="1"/>
  <c r="B4" i="1"/>
  <c r="C4" i="1"/>
  <c r="F4" i="1"/>
  <c r="G4" i="1"/>
  <c r="H4" i="1"/>
  <c r="I4" i="1"/>
  <c r="A4" i="1"/>
  <c r="B117" i="1"/>
  <c r="C117" i="1"/>
  <c r="F117" i="1"/>
  <c r="G117" i="1"/>
  <c r="H117" i="1"/>
  <c r="I117" i="1"/>
  <c r="A117" i="1"/>
  <c r="B118" i="1"/>
  <c r="C118" i="1"/>
  <c r="F118" i="1"/>
  <c r="G118" i="1"/>
  <c r="H118" i="1"/>
  <c r="I118" i="1"/>
  <c r="A118" i="1"/>
  <c r="B119" i="1"/>
  <c r="C119" i="1"/>
  <c r="F119" i="1"/>
  <c r="G119" i="1"/>
  <c r="H119" i="1"/>
  <c r="I119" i="1"/>
  <c r="A119" i="1"/>
  <c r="B14" i="1"/>
  <c r="C14" i="1"/>
  <c r="F14" i="1"/>
  <c r="G14" i="1"/>
  <c r="H14" i="1"/>
  <c r="I14" i="1"/>
  <c r="A14" i="1"/>
  <c r="B78" i="1"/>
  <c r="C78" i="1"/>
  <c r="F78" i="1"/>
  <c r="G78" i="1"/>
  <c r="H78" i="1"/>
  <c r="I78" i="1"/>
  <c r="A78" i="1"/>
  <c r="B91" i="1"/>
  <c r="C91" i="1"/>
  <c r="F91" i="1"/>
  <c r="G91" i="1"/>
  <c r="H91" i="1"/>
  <c r="I91" i="1"/>
  <c r="A91" i="1"/>
  <c r="B67" i="1"/>
  <c r="C67" i="1"/>
  <c r="F67" i="1"/>
  <c r="G67" i="1"/>
  <c r="H67" i="1"/>
  <c r="I67" i="1"/>
  <c r="A67" i="1"/>
  <c r="B58" i="1"/>
  <c r="C58" i="1"/>
  <c r="F58" i="1"/>
  <c r="G58" i="1"/>
  <c r="H58" i="1"/>
  <c r="I58" i="1"/>
  <c r="A58" i="1"/>
  <c r="B61" i="1"/>
  <c r="C61" i="1"/>
  <c r="F61" i="1"/>
  <c r="G61" i="1"/>
  <c r="H61" i="1"/>
  <c r="I61" i="1"/>
  <c r="A61" i="1"/>
  <c r="B53" i="1"/>
  <c r="C53" i="1"/>
  <c r="F53" i="1"/>
  <c r="G53" i="1"/>
  <c r="H53" i="1"/>
  <c r="I53" i="1"/>
  <c r="A53" i="1"/>
  <c r="B110" i="1"/>
  <c r="C110" i="1"/>
  <c r="F110" i="1"/>
  <c r="G110" i="1"/>
  <c r="H110" i="1"/>
  <c r="I110" i="1"/>
  <c r="A110" i="1"/>
  <c r="B68" i="1"/>
  <c r="C68" i="1"/>
  <c r="F68" i="1"/>
  <c r="G68" i="1"/>
  <c r="H68" i="1"/>
  <c r="I68" i="1"/>
  <c r="A68" i="1"/>
  <c r="B64" i="1"/>
  <c r="C64" i="1"/>
  <c r="F64" i="1"/>
  <c r="G64" i="1"/>
  <c r="H64" i="1"/>
  <c r="I64" i="1"/>
  <c r="A64" i="1"/>
  <c r="B54" i="1"/>
  <c r="C54" i="1"/>
  <c r="F54" i="1"/>
  <c r="G54" i="1"/>
  <c r="H54" i="1"/>
  <c r="I54" i="1"/>
  <c r="A54" i="1"/>
  <c r="B65" i="1"/>
  <c r="C65" i="1"/>
  <c r="F65" i="1"/>
  <c r="G65" i="1"/>
  <c r="H65" i="1"/>
  <c r="I65" i="1"/>
  <c r="A65" i="1"/>
  <c r="B55" i="1"/>
  <c r="C55" i="1"/>
  <c r="F55" i="1"/>
  <c r="G55" i="1"/>
  <c r="H55" i="1"/>
  <c r="I55" i="1"/>
  <c r="A55" i="1"/>
  <c r="B83" i="1"/>
  <c r="C83" i="1"/>
  <c r="F83" i="1"/>
  <c r="G83" i="1"/>
  <c r="H83" i="1"/>
  <c r="I83" i="1"/>
  <c r="A83" i="1"/>
  <c r="B37" i="1"/>
  <c r="C37" i="1"/>
  <c r="F37" i="1"/>
  <c r="G37" i="1"/>
  <c r="H37" i="1"/>
  <c r="I37" i="1"/>
  <c r="A37" i="1"/>
  <c r="B93" i="1"/>
  <c r="C93" i="1"/>
  <c r="F93" i="1"/>
  <c r="G93" i="1"/>
  <c r="H93" i="1"/>
  <c r="I93" i="1"/>
  <c r="A93" i="1"/>
  <c r="B101" i="1"/>
  <c r="C101" i="1"/>
  <c r="F101" i="1"/>
  <c r="G101" i="1"/>
  <c r="H101" i="1"/>
  <c r="I101" i="1"/>
  <c r="A101" i="1"/>
  <c r="B97" i="1"/>
  <c r="C97" i="1"/>
  <c r="F97" i="1"/>
  <c r="G97" i="1"/>
  <c r="H97" i="1"/>
  <c r="I97" i="1"/>
  <c r="A97" i="1"/>
  <c r="B94" i="1"/>
  <c r="C94" i="1"/>
  <c r="F94" i="1"/>
  <c r="G94" i="1"/>
  <c r="H94" i="1"/>
  <c r="I94" i="1"/>
  <c r="A94" i="1"/>
  <c r="B98" i="1"/>
  <c r="C98" i="1"/>
  <c r="F98" i="1"/>
  <c r="G98" i="1"/>
  <c r="H98" i="1"/>
  <c r="I98" i="1"/>
  <c r="A98" i="1"/>
  <c r="B74" i="1"/>
  <c r="C74" i="1"/>
  <c r="F74" i="1"/>
  <c r="G74" i="1"/>
  <c r="H74" i="1"/>
  <c r="I74" i="1"/>
  <c r="A74" i="1"/>
  <c r="B75" i="1"/>
  <c r="C75" i="1"/>
  <c r="F75" i="1"/>
  <c r="G75" i="1"/>
  <c r="H75" i="1"/>
  <c r="I75" i="1"/>
  <c r="A75" i="1"/>
  <c r="B73" i="1"/>
  <c r="C73" i="1"/>
  <c r="F73" i="1"/>
  <c r="G73" i="1"/>
  <c r="H73" i="1"/>
  <c r="I73" i="1"/>
  <c r="A73" i="1"/>
  <c r="B27" i="1"/>
  <c r="C27" i="1"/>
  <c r="F27" i="1"/>
  <c r="G27" i="1"/>
  <c r="H27" i="1"/>
  <c r="I27" i="1"/>
  <c r="A27" i="1"/>
  <c r="B28" i="1"/>
  <c r="C28" i="1"/>
  <c r="F28" i="1"/>
  <c r="G28" i="1"/>
  <c r="H28" i="1"/>
  <c r="I28" i="1"/>
  <c r="A28" i="1"/>
  <c r="B25" i="1"/>
  <c r="C25" i="1"/>
  <c r="F25" i="1"/>
  <c r="G25" i="1"/>
  <c r="H25" i="1"/>
  <c r="I25" i="1"/>
  <c r="A25" i="1"/>
  <c r="B26" i="1"/>
  <c r="C26" i="1"/>
  <c r="F26" i="1"/>
  <c r="G26" i="1"/>
  <c r="H26" i="1"/>
  <c r="I26" i="1"/>
  <c r="A26" i="1"/>
  <c r="B113" i="1"/>
  <c r="C113" i="1"/>
  <c r="F113" i="1"/>
  <c r="G113" i="1"/>
  <c r="H113" i="1"/>
  <c r="I113" i="1"/>
  <c r="A113" i="1"/>
  <c r="B115" i="1"/>
  <c r="C115" i="1"/>
  <c r="F115" i="1"/>
  <c r="G115" i="1"/>
  <c r="H115" i="1"/>
  <c r="I115" i="1"/>
  <c r="A115" i="1"/>
  <c r="B66" i="1"/>
  <c r="C66" i="1"/>
  <c r="F66" i="1"/>
  <c r="G66" i="1"/>
  <c r="H66" i="1"/>
  <c r="I66" i="1"/>
  <c r="A66" i="1"/>
  <c r="B62" i="1"/>
  <c r="C62" i="1"/>
  <c r="F62" i="1"/>
  <c r="G62" i="1"/>
  <c r="H62" i="1"/>
  <c r="I62" i="1"/>
  <c r="A62" i="1"/>
  <c r="B111" i="1"/>
  <c r="C111" i="1"/>
  <c r="F111" i="1"/>
  <c r="G111" i="1"/>
  <c r="H111" i="1"/>
  <c r="I111" i="1"/>
  <c r="A111" i="1"/>
  <c r="B56" i="1"/>
  <c r="C56" i="1"/>
  <c r="F56" i="1"/>
  <c r="G56" i="1"/>
  <c r="H56" i="1"/>
  <c r="I56" i="1"/>
  <c r="A56" i="1"/>
  <c r="B99" i="1"/>
  <c r="C99" i="1"/>
  <c r="F99" i="1"/>
  <c r="G99" i="1"/>
  <c r="H99" i="1"/>
  <c r="I99" i="1"/>
  <c r="A99" i="1"/>
  <c r="B106" i="1"/>
  <c r="C106" i="1"/>
  <c r="F106" i="1"/>
  <c r="G106" i="1"/>
  <c r="H106" i="1"/>
  <c r="I106" i="1"/>
  <c r="A106" i="1"/>
  <c r="B107" i="1"/>
  <c r="C107" i="1"/>
  <c r="F107" i="1"/>
  <c r="G107" i="1"/>
  <c r="H107" i="1"/>
  <c r="I107" i="1"/>
  <c r="A107" i="1"/>
  <c r="B100" i="1"/>
  <c r="C100" i="1"/>
  <c r="F100" i="1"/>
  <c r="G100" i="1"/>
  <c r="H100" i="1"/>
  <c r="I100" i="1"/>
  <c r="A100" i="1"/>
  <c r="B81" i="1"/>
  <c r="C81" i="1"/>
  <c r="F81" i="1"/>
  <c r="G81" i="1"/>
  <c r="H81" i="1"/>
  <c r="I81" i="1"/>
  <c r="A81" i="1"/>
  <c r="B80" i="1"/>
  <c r="C80" i="1"/>
  <c r="F80" i="1"/>
  <c r="G80" i="1"/>
  <c r="H80" i="1"/>
  <c r="I80" i="1"/>
  <c r="A80" i="1"/>
  <c r="B23" i="1"/>
  <c r="C23" i="1"/>
  <c r="F23" i="1"/>
  <c r="G23" i="1"/>
  <c r="H23" i="1"/>
  <c r="I23" i="1"/>
  <c r="A23" i="1"/>
  <c r="B29" i="1"/>
  <c r="C29" i="1"/>
  <c r="F29" i="1"/>
  <c r="G29" i="1"/>
  <c r="H29" i="1"/>
  <c r="I29" i="1"/>
  <c r="A29" i="1"/>
  <c r="B38" i="1"/>
  <c r="C38" i="1"/>
  <c r="F38" i="1"/>
  <c r="G38" i="1"/>
  <c r="H38" i="1"/>
  <c r="I38" i="1"/>
  <c r="A38" i="1"/>
  <c r="B24" i="1"/>
  <c r="C24" i="1"/>
  <c r="F24" i="1"/>
  <c r="G24" i="1"/>
  <c r="H24" i="1"/>
  <c r="I24" i="1"/>
  <c r="A24" i="1"/>
  <c r="B30" i="1"/>
  <c r="C30" i="1"/>
  <c r="F30" i="1"/>
  <c r="G30" i="1"/>
  <c r="H30" i="1"/>
  <c r="I30" i="1"/>
  <c r="A30" i="1"/>
  <c r="B39" i="1"/>
  <c r="C39" i="1"/>
  <c r="F39" i="1"/>
  <c r="G39" i="1"/>
  <c r="H39" i="1"/>
  <c r="I39" i="1"/>
  <c r="A39" i="1"/>
  <c r="B18" i="1"/>
  <c r="C18" i="1"/>
  <c r="F18" i="1"/>
  <c r="G18" i="1"/>
  <c r="H18" i="1"/>
  <c r="I18" i="1"/>
  <c r="A18" i="1"/>
  <c r="B19" i="1"/>
  <c r="C19" i="1"/>
  <c r="F19" i="1"/>
  <c r="G19" i="1"/>
  <c r="H19" i="1"/>
  <c r="I19" i="1"/>
  <c r="A19" i="1"/>
  <c r="B40" i="1"/>
  <c r="C40" i="1"/>
  <c r="F40" i="1"/>
  <c r="G40" i="1"/>
  <c r="H40" i="1"/>
  <c r="I40" i="1"/>
  <c r="A40" i="1"/>
  <c r="B20" i="1"/>
  <c r="C20" i="1"/>
  <c r="F20" i="1"/>
  <c r="G20" i="1"/>
  <c r="H20" i="1"/>
  <c r="I20" i="1"/>
  <c r="A20" i="1"/>
  <c r="B21" i="1"/>
  <c r="C21" i="1"/>
  <c r="F21" i="1"/>
  <c r="G21" i="1"/>
  <c r="H21" i="1"/>
  <c r="I21" i="1"/>
  <c r="A21" i="1"/>
  <c r="B22" i="1"/>
  <c r="C22" i="1"/>
  <c r="F22" i="1"/>
  <c r="G22" i="1"/>
  <c r="H22" i="1"/>
  <c r="I22" i="1"/>
  <c r="A22" i="1"/>
  <c r="B33" i="1"/>
  <c r="C33" i="1"/>
  <c r="F33" i="1"/>
  <c r="G33" i="1"/>
  <c r="H33" i="1"/>
  <c r="I33" i="1"/>
  <c r="A33" i="1"/>
  <c r="B57" i="1"/>
  <c r="C57" i="1"/>
  <c r="F57" i="1"/>
  <c r="G57" i="1"/>
  <c r="H57" i="1"/>
  <c r="I57" i="1"/>
  <c r="A57" i="1"/>
  <c r="B16" i="1"/>
  <c r="C16" i="1"/>
  <c r="F16" i="1"/>
  <c r="G16" i="1"/>
  <c r="H16" i="1"/>
  <c r="I16" i="1"/>
  <c r="A16" i="1"/>
  <c r="B5" i="1"/>
  <c r="C5" i="1"/>
  <c r="F5" i="1"/>
  <c r="G5" i="1"/>
  <c r="H5" i="1"/>
  <c r="I5" i="1"/>
  <c r="A5" i="1"/>
  <c r="B2" i="1"/>
  <c r="C2" i="1"/>
  <c r="F2" i="1"/>
  <c r="G2" i="1"/>
  <c r="H2" i="1"/>
  <c r="I2" i="1"/>
  <c r="A2" i="1"/>
  <c r="B3" i="1"/>
  <c r="C3" i="1"/>
  <c r="F3" i="1"/>
  <c r="G3" i="1"/>
  <c r="H3" i="1"/>
  <c r="I3" i="1"/>
  <c r="A3" i="1"/>
  <c r="B32" i="1"/>
  <c r="C32" i="1"/>
  <c r="F32" i="1"/>
  <c r="G32" i="1"/>
  <c r="H32" i="1"/>
  <c r="I32" i="1"/>
  <c r="A32" i="1"/>
  <c r="B6" i="1"/>
  <c r="C6" i="1"/>
  <c r="F6" i="1"/>
  <c r="G6" i="1"/>
  <c r="H6" i="1"/>
  <c r="I6" i="1"/>
  <c r="A6" i="1"/>
  <c r="B51" i="1"/>
  <c r="C51" i="1"/>
  <c r="F51" i="1"/>
  <c r="G51" i="1"/>
  <c r="H51" i="1"/>
  <c r="I51" i="1"/>
  <c r="A51" i="1"/>
  <c r="B43" i="1"/>
  <c r="C43" i="1"/>
  <c r="F43" i="1"/>
  <c r="G43" i="1"/>
  <c r="H43" i="1"/>
  <c r="I43" i="1"/>
  <c r="A43" i="1"/>
  <c r="B88" i="1"/>
  <c r="C88" i="1"/>
  <c r="F88" i="1"/>
  <c r="G88" i="1"/>
  <c r="H88" i="1"/>
  <c r="I88" i="1"/>
  <c r="A88" i="1"/>
  <c r="B87" i="1"/>
  <c r="C87" i="1"/>
  <c r="F87" i="1"/>
  <c r="G87" i="1"/>
  <c r="H87" i="1"/>
  <c r="I87" i="1"/>
  <c r="A87" i="1"/>
  <c r="B79" i="1"/>
  <c r="C79" i="1"/>
  <c r="F79" i="1"/>
  <c r="G79" i="1"/>
  <c r="H79" i="1"/>
  <c r="I79" i="1"/>
  <c r="A79" i="1"/>
  <c r="B86" i="1"/>
  <c r="C86" i="1"/>
  <c r="F86" i="1"/>
  <c r="G86" i="1"/>
  <c r="H86" i="1"/>
  <c r="I86" i="1"/>
  <c r="A86" i="1"/>
</calcChain>
</file>

<file path=xl/sharedStrings.xml><?xml version="1.0" encoding="utf-8"?>
<sst xmlns="http://schemas.openxmlformats.org/spreadsheetml/2006/main" count="37" uniqueCount="35">
  <si>
    <t>COUNTY</t>
  </si>
  <si>
    <t>DESIGN PROJECT ID</t>
  </si>
  <si>
    <t>CONSTRUCTION PROJECT ID</t>
  </si>
  <si>
    <t>STATE FISCAL YEAR</t>
  </si>
  <si>
    <t>LET DATE</t>
  </si>
  <si>
    <t>TITLE</t>
  </si>
  <si>
    <t>LIMITS</t>
  </si>
  <si>
    <t>TYPE OF WORK</t>
  </si>
  <si>
    <t>HWY</t>
  </si>
  <si>
    <t>LENGTH (MILES)</t>
  </si>
  <si>
    <t>COLUMBIA</t>
  </si>
  <si>
    <t>6217-00-07</t>
  </si>
  <si>
    <t>6217-00-77</t>
  </si>
  <si>
    <t>TOWN OF COLUMBUS HALL RD</t>
  </si>
  <si>
    <t>CRAWFISH RIVER BRIDGE B-11-0174</t>
  </si>
  <si>
    <t>CONST OPS/BRIDGE REPLACEMENT</t>
  </si>
  <si>
    <t>LOC-STR</t>
  </si>
  <si>
    <t>DANE</t>
  </si>
  <si>
    <t>5992-11-00</t>
  </si>
  <si>
    <t>5992-11-01</t>
  </si>
  <si>
    <t>CITY OF MADISON PLEASANT VIEW ROAD</t>
  </si>
  <si>
    <t>MINERAL POINT ROAD TO USH 14</t>
  </si>
  <si>
    <t>CONTR OPS/RECONSTRUCTION</t>
  </si>
  <si>
    <t>TBD</t>
  </si>
  <si>
    <t>3500-00-06</t>
  </si>
  <si>
    <t>3500-00-76</t>
  </si>
  <si>
    <t>JEFFERSON COUNTY, INTERURBAN TRAIL</t>
  </si>
  <si>
    <t>RIVER ROAD TO CTH F</t>
  </si>
  <si>
    <t xml:space="preserve">CONST OPS/BIKE PEDESTRIAN TRAIL </t>
  </si>
  <si>
    <t>NON-HWY</t>
  </si>
  <si>
    <t>5989-00-76</t>
  </si>
  <si>
    <t>5989-00-77</t>
  </si>
  <si>
    <t>TOWN OF BELOIT, INMAN PARKWAY</t>
  </si>
  <si>
    <t>USH 51 TO CTH G</t>
  </si>
  <si>
    <t>CONST OPS /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</si>
</sst>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wrapText="1"/>
    </xf>
    <xf numFmtId="0" fontId="16" fillId="0" borderId="0" xfId="0" applyFont="1" applyFill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0" xfId="0" applyFill="1"/>
    <xf numFmtId="49" fontId="0" fillId="0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tabSelected="1" workbookViewId="0">
      <selection activeCell="G14" sqref="G14"/>
    </sheetView>
  </sheetViews>
  <sheetFormatPr defaultRowHeight="15" x14ac:dyDescent="0.25"/>
  <cols>
    <col min="1" max="1" width="11.28515625" style="9" bestFit="1" customWidth="1"/>
    <col min="2" max="2" width="13.140625" style="9" bestFit="1" customWidth="1"/>
    <col min="3" max="3" width="17.85546875" style="9" customWidth="1"/>
    <col min="4" max="4" width="9.140625" style="9"/>
    <col min="5" max="5" width="10.7109375" style="9" bestFit="1" customWidth="1"/>
    <col min="6" max="6" width="39.140625" style="9" bestFit="1" customWidth="1"/>
    <col min="7" max="7" width="40.28515625" style="9" bestFit="1" customWidth="1"/>
    <col min="8" max="8" width="40.7109375" style="9" bestFit="1" customWidth="1"/>
    <col min="9" max="16384" width="9.140625" style="9"/>
  </cols>
  <sheetData>
    <row r="1" spans="1:10" s="5" customFormat="1" ht="30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</row>
    <row r="2" spans="1:10" x14ac:dyDescent="0.25">
      <c r="A2" s="6" t="str">
        <f>CLEAN("COLUMBIA")</f>
        <v>COLUMBIA</v>
      </c>
      <c r="B2" s="7" t="str">
        <f>CLEAN("6217-00-01")</f>
        <v>6217-00-01</v>
      </c>
      <c r="C2" s="7" t="str">
        <f>CLEAN("6217-00-78")</f>
        <v>6217-00-78</v>
      </c>
      <c r="D2" s="7">
        <v>2022</v>
      </c>
      <c r="E2" s="8">
        <v>44544</v>
      </c>
      <c r="F2" s="6" t="str">
        <f>CLEAN("TOWN OF COLUMBUS  OLD STH 73 RD")</f>
        <v>TOWN OF COLUMBUS  OLD STH 73 RD</v>
      </c>
      <c r="G2" s="6" t="str">
        <f>CLEAN("CRAWFISH RIVER BRIDGE  B-11-0175")</f>
        <v>CRAWFISH RIVER BRIDGE  B-11-0175</v>
      </c>
      <c r="H2" s="6" t="str">
        <f>CLEAN("CONST OPS/BRIDGE REPLACEMENT")</f>
        <v>CONST OPS/BRIDGE REPLACEMENT</v>
      </c>
      <c r="I2" s="6" t="str">
        <f>CLEAN("LOC-STR")</f>
        <v>LOC-STR</v>
      </c>
      <c r="J2" s="6">
        <v>0</v>
      </c>
    </row>
    <row r="3" spans="1:10" x14ac:dyDescent="0.25">
      <c r="A3" s="6" t="str">
        <f>CLEAN("COLUMBIA")</f>
        <v>COLUMBIA</v>
      </c>
      <c r="B3" s="7" t="str">
        <f>CLEAN("6217-00-02")</f>
        <v>6217-00-02</v>
      </c>
      <c r="C3" s="7" t="str">
        <f>CLEAN("6217-00-79")</f>
        <v>6217-00-79</v>
      </c>
      <c r="D3" s="7">
        <v>2022</v>
      </c>
      <c r="E3" s="8">
        <v>44544</v>
      </c>
      <c r="F3" s="6" t="str">
        <f>CLEAN("TOWN OF COLUMBUS  WENDT RD")</f>
        <v>TOWN OF COLUMBUS  WENDT RD</v>
      </c>
      <c r="G3" s="6" t="str">
        <f>CLEAN("CRAWFISH RIVER BRIDGE  B-11-0176")</f>
        <v>CRAWFISH RIVER BRIDGE  B-11-0176</v>
      </c>
      <c r="H3" s="6" t="str">
        <f>CLEAN("CONST OPS/BRIDGE REPLACEMENT")</f>
        <v>CONST OPS/BRIDGE REPLACEMENT</v>
      </c>
      <c r="I3" s="6" t="str">
        <f>CLEAN("LOC-STR")</f>
        <v>LOC-STR</v>
      </c>
      <c r="J3" s="6">
        <v>0</v>
      </c>
    </row>
    <row r="4" spans="1:10" x14ac:dyDescent="0.25">
      <c r="A4" s="6" t="str">
        <f>CLEAN("COLUMBIA")</f>
        <v>COLUMBIA</v>
      </c>
      <c r="B4" s="7" t="str">
        <f>CLEAN("5432-00-02")</f>
        <v>5432-00-02</v>
      </c>
      <c r="C4" s="7" t="str">
        <f>CLEAN("5432-00-72")</f>
        <v>5432-00-72</v>
      </c>
      <c r="D4" s="7">
        <v>2023</v>
      </c>
      <c r="E4" s="8">
        <v>44908</v>
      </c>
      <c r="F4" s="6" t="str">
        <f>CLEAN("STH 146 - STH 73")</f>
        <v>STH 146 - STH 73</v>
      </c>
      <c r="G4" s="6" t="str">
        <f>CLEAN("UPRR BRIDGE  B-11-0173")</f>
        <v>UPRR BRIDGE  B-11-0173</v>
      </c>
      <c r="H4" s="6" t="str">
        <f>CLEAN("CONST OPS/BRIDGE RECONSTRUCTION")</f>
        <v>CONST OPS/BRIDGE RECONSTRUCTION</v>
      </c>
      <c r="I4" s="6" t="str">
        <f>CLEAN("CTH-A")</f>
        <v>CTH-A</v>
      </c>
      <c r="J4" s="6">
        <v>0</v>
      </c>
    </row>
    <row r="5" spans="1:10" x14ac:dyDescent="0.25">
      <c r="A5" s="6" t="str">
        <f>CLEAN("COLUMBIA")</f>
        <v>COLUMBIA</v>
      </c>
      <c r="B5" s="7" t="str">
        <f>CLEAN("6215-00-03")</f>
        <v>6215-00-03</v>
      </c>
      <c r="C5" s="7" t="str">
        <f>CLEAN("6215-00-73")</f>
        <v>6215-00-73</v>
      </c>
      <c r="D5" s="7">
        <v>2023</v>
      </c>
      <c r="E5" s="8">
        <v>44908</v>
      </c>
      <c r="F5" s="6" t="str">
        <f>CLEAN("TOWN OF SCOTT  INGLEHART RD")</f>
        <v>TOWN OF SCOTT  INGLEHART RD</v>
      </c>
      <c r="G5" s="6" t="str">
        <f>CLEAN("UPRR BRIDGE  B-11-0178")</f>
        <v>UPRR BRIDGE  B-11-0178</v>
      </c>
      <c r="H5" s="6" t="str">
        <f>CLEAN("CONST OPS/BRIDGE REPLACEMENT")</f>
        <v>CONST OPS/BRIDGE REPLACEMENT</v>
      </c>
      <c r="I5" s="6" t="str">
        <f>CLEAN("LOC-STR")</f>
        <v>LOC-STR</v>
      </c>
      <c r="J5" s="6">
        <v>0</v>
      </c>
    </row>
    <row r="6" spans="1:10" x14ac:dyDescent="0.25">
      <c r="A6" s="6" t="str">
        <f>CLEAN("COLUMBIA")</f>
        <v>COLUMBIA</v>
      </c>
      <c r="B6" s="7" t="str">
        <f>CLEAN("6723-00-03")</f>
        <v>6723-00-03</v>
      </c>
      <c r="C6" s="7" t="str">
        <f>CLEAN("6723-00-73")</f>
        <v>6723-00-73</v>
      </c>
      <c r="D6" s="7">
        <v>2023</v>
      </c>
      <c r="E6" s="8">
        <v>44908</v>
      </c>
      <c r="F6" s="6" t="str">
        <f>CLEAN("TOWN OF RANDOLPH  STERK RD")</f>
        <v>TOWN OF RANDOLPH  STERK RD</v>
      </c>
      <c r="G6" s="6" t="str">
        <f>CLEAN("UPRR BRIDGE  B-11-0177")</f>
        <v>UPRR BRIDGE  B-11-0177</v>
      </c>
      <c r="H6" s="6" t="str">
        <f>CLEAN("CONST OPS/BRIDGE REPLACMENT")</f>
        <v>CONST OPS/BRIDGE REPLACMENT</v>
      </c>
      <c r="I6" s="6" t="str">
        <f>CLEAN("LOC-STR")</f>
        <v>LOC-STR</v>
      </c>
      <c r="J6" s="6">
        <v>0</v>
      </c>
    </row>
    <row r="7" spans="1:10" x14ac:dyDescent="0.25">
      <c r="A7" s="6" t="s">
        <v>10</v>
      </c>
      <c r="B7" s="7" t="s">
        <v>11</v>
      </c>
      <c r="C7" s="7" t="s">
        <v>12</v>
      </c>
      <c r="D7" s="7">
        <v>2022</v>
      </c>
      <c r="E7" s="8">
        <v>44544</v>
      </c>
      <c r="F7" s="6" t="s">
        <v>13</v>
      </c>
      <c r="G7" s="6" t="s">
        <v>14</v>
      </c>
      <c r="H7" s="6" t="s">
        <v>15</v>
      </c>
      <c r="I7" s="6" t="s">
        <v>16</v>
      </c>
      <c r="J7" s="6">
        <v>0</v>
      </c>
    </row>
    <row r="8" spans="1:10" x14ac:dyDescent="0.25">
      <c r="A8" s="6"/>
      <c r="B8" s="7"/>
      <c r="C8" s="7"/>
      <c r="D8" s="7"/>
      <c r="E8" s="8"/>
      <c r="F8" s="6"/>
      <c r="G8" s="6"/>
      <c r="H8" s="6"/>
      <c r="I8" s="6"/>
      <c r="J8" s="6"/>
    </row>
    <row r="9" spans="1:10" x14ac:dyDescent="0.25">
      <c r="A9" s="6" t="str">
        <f t="shared" ref="A9:A16" si="0">CLEAN("CRAWFORD")</f>
        <v>CRAWFORD</v>
      </c>
      <c r="B9" s="7" t="str">
        <f>CLEAN("5328-00-00")</f>
        <v>5328-00-00</v>
      </c>
      <c r="C9" s="7" t="str">
        <f>CLEAN("5328-00-70")</f>
        <v>5328-00-70</v>
      </c>
      <c r="D9" s="7">
        <v>2020</v>
      </c>
      <c r="E9" s="8">
        <v>43963</v>
      </c>
      <c r="F9" s="6" t="str">
        <f>CLEAN("V OF BELL CENTER  SAND HILL RD")</f>
        <v>V OF BELL CENTER  SAND HILL RD</v>
      </c>
      <c r="G9" s="6" t="str">
        <f>CLEAN("KICKAPOO RIVER BRIDGE  B-12-0251")</f>
        <v>KICKAPOO RIVER BRIDGE  B-12-0251</v>
      </c>
      <c r="H9" s="6" t="str">
        <f>CLEAN("CONST OPS/BRIDGE REPLACEMENT")</f>
        <v>CONST OPS/BRIDGE REPLACEMENT</v>
      </c>
      <c r="I9" s="6" t="str">
        <f>CLEAN("LOC-STR")</f>
        <v>LOC-STR</v>
      </c>
      <c r="J9" s="6">
        <v>4.7E-2</v>
      </c>
    </row>
    <row r="10" spans="1:10" x14ac:dyDescent="0.25">
      <c r="A10" s="6" t="str">
        <f t="shared" si="0"/>
        <v>CRAWFORD</v>
      </c>
      <c r="B10" s="7" t="str">
        <f>CLEAN("5325-00-02")</f>
        <v>5325-00-02</v>
      </c>
      <c r="C10" s="7" t="str">
        <f>CLEAN("5325-00-72")</f>
        <v>5325-00-72</v>
      </c>
      <c r="D10" s="7">
        <v>2021</v>
      </c>
      <c r="E10" s="8">
        <v>44173</v>
      </c>
      <c r="F10" s="6" t="str">
        <f>CLEAN("TOWN OF CLAYTON  TILLER RD")</f>
        <v>TOWN OF CLAYTON  TILLER RD</v>
      </c>
      <c r="G10" s="6" t="str">
        <f>CLEAN("PIGEON RUN CREEK BRIDGE B-12-0250")</f>
        <v>PIGEON RUN CREEK BRIDGE B-12-0250</v>
      </c>
      <c r="H10" s="6" t="str">
        <f>CLEAN("CONST OPS/BRIDGE REPLACEMENT")</f>
        <v>CONST OPS/BRIDGE REPLACEMENT</v>
      </c>
      <c r="I10" s="6" t="str">
        <f>CLEAN("LOC-STR")</f>
        <v>LOC-STR</v>
      </c>
      <c r="J10" s="6">
        <v>0</v>
      </c>
    </row>
    <row r="11" spans="1:10" x14ac:dyDescent="0.25">
      <c r="A11" s="6" t="str">
        <f t="shared" si="0"/>
        <v>CRAWFORD</v>
      </c>
      <c r="B11" s="7" t="str">
        <f>CLEAN("5329-00-00")</f>
        <v>5329-00-00</v>
      </c>
      <c r="C11" s="7" t="str">
        <f>CLEAN("5329-00-70")</f>
        <v>5329-00-70</v>
      </c>
      <c r="D11" s="7">
        <v>2021</v>
      </c>
      <c r="E11" s="8">
        <v>44173</v>
      </c>
      <c r="F11" s="6" t="str">
        <f>CLEAN("T OF MARIETTA  MARIETTA VALLEY RD")</f>
        <v>T OF MARIETTA  MARIETTA VALLEY RD</v>
      </c>
      <c r="G11" s="6" t="str">
        <f>CLEAN("WOODWARD HOLLOW CR BRIDGE B-12-0249")</f>
        <v>WOODWARD HOLLOW CR BRIDGE B-12-0249</v>
      </c>
      <c r="H11" s="6" t="str">
        <f>CLEAN("CONST OPS/BRIDGE REPLACMENT")</f>
        <v>CONST OPS/BRIDGE REPLACMENT</v>
      </c>
      <c r="I11" s="6" t="str">
        <f>CLEAN("LOC-STR")</f>
        <v>LOC-STR</v>
      </c>
      <c r="J11" s="6">
        <v>0</v>
      </c>
    </row>
    <row r="12" spans="1:10" x14ac:dyDescent="0.25">
      <c r="A12" s="6" t="str">
        <f t="shared" si="0"/>
        <v>CRAWFORD</v>
      </c>
      <c r="B12" s="7" t="str">
        <f>CLEAN("5336-00-03")</f>
        <v>5336-00-03</v>
      </c>
      <c r="C12" s="7" t="str">
        <f>CLEAN("5336-00-73")</f>
        <v>5336-00-73</v>
      </c>
      <c r="D12" s="7">
        <v>2021</v>
      </c>
      <c r="E12" s="8">
        <v>44173</v>
      </c>
      <c r="F12" s="6" t="str">
        <f>CLEAN("TOWN OF SCOTT  BYERS RD")</f>
        <v>TOWN OF SCOTT  BYERS RD</v>
      </c>
      <c r="G12" s="6" t="str">
        <f>CLEAN("RICHLAND CREEK BRIDGE  B-12-0248")</f>
        <v>RICHLAND CREEK BRIDGE  B-12-0248</v>
      </c>
      <c r="H12" s="6" t="str">
        <f>CLEAN("CONST OPS/BRIDGE REPLACEMENT")</f>
        <v>CONST OPS/BRIDGE REPLACEMENT</v>
      </c>
      <c r="I12" s="6" t="str">
        <f>CLEAN("LOC-STR")</f>
        <v>LOC-STR</v>
      </c>
      <c r="J12" s="6">
        <v>0</v>
      </c>
    </row>
    <row r="13" spans="1:10" x14ac:dyDescent="0.25">
      <c r="A13" s="6" t="str">
        <f t="shared" si="0"/>
        <v>CRAWFORD</v>
      </c>
      <c r="B13" s="7" t="str">
        <f>CLEAN("5415-00-01")</f>
        <v>5415-00-01</v>
      </c>
      <c r="C13" s="7" t="str">
        <f>CLEAN("5415-00-71")</f>
        <v>5415-00-71</v>
      </c>
      <c r="D13" s="7">
        <v>2021</v>
      </c>
      <c r="E13" s="8">
        <v>44173</v>
      </c>
      <c r="F13" s="6" t="str">
        <f>CLEAN("STH 171 - CTH X")</f>
        <v>STH 171 - CTH X</v>
      </c>
      <c r="G13" s="6" t="str">
        <f>CLEAN("ENGLISH RUN CREEK BRIDGE  B-12-0191")</f>
        <v>ENGLISH RUN CREEK BRIDGE  B-12-0191</v>
      </c>
      <c r="H13" s="6" t="str">
        <f>CLEAN("CONST OPS/BRIDGE REPLACEMENT")</f>
        <v>CONST OPS/BRIDGE REPLACEMENT</v>
      </c>
      <c r="I13" s="6" t="str">
        <f>CLEAN("CTH-H")</f>
        <v>CTH-H</v>
      </c>
      <c r="J13" s="6">
        <v>0</v>
      </c>
    </row>
    <row r="14" spans="1:10" x14ac:dyDescent="0.25">
      <c r="A14" s="6" t="str">
        <f t="shared" si="0"/>
        <v>CRAWFORD</v>
      </c>
      <c r="B14" s="7" t="str">
        <f>CLEAN("5495-00-01")</f>
        <v>5495-00-01</v>
      </c>
      <c r="C14" s="7" t="str">
        <f>CLEAN("5495-00-70")</f>
        <v>5495-00-70</v>
      </c>
      <c r="D14" s="7">
        <v>2022</v>
      </c>
      <c r="E14" s="8">
        <v>44418</v>
      </c>
      <c r="F14" s="6" t="str">
        <f>CLEAN("CITY PRAIRE DU CHIEN - STH 35")</f>
        <v>CITY PRAIRE DU CHIEN - STH 35</v>
      </c>
      <c r="G14" s="6" t="str">
        <f>CLEAN("E FREDERICK ST TO CLIFFWOOD DRIVE")</f>
        <v>E FREDERICK ST TO CLIFFWOOD DRIVE</v>
      </c>
      <c r="H14" s="6" t="str">
        <f>CLEAN("CONST OPS/PAVEMENT RESURFACING")</f>
        <v>CONST OPS/PAVEMENT RESURFACING</v>
      </c>
      <c r="I14" s="6" t="str">
        <f>CLEAN("CTH-K")</f>
        <v>CTH-K</v>
      </c>
      <c r="J14" s="6">
        <v>0.87</v>
      </c>
    </row>
    <row r="15" spans="1:10" x14ac:dyDescent="0.25">
      <c r="A15" s="6" t="str">
        <f t="shared" si="0"/>
        <v>CRAWFORD</v>
      </c>
      <c r="B15" s="7" t="str">
        <f>CLEAN("5325-00-03")</f>
        <v>5325-00-03</v>
      </c>
      <c r="C15" s="7" t="str">
        <f>CLEAN("5325-00-73")</f>
        <v>5325-00-73</v>
      </c>
      <c r="D15" s="7">
        <v>2022</v>
      </c>
      <c r="E15" s="8">
        <v>44544</v>
      </c>
      <c r="F15" s="6" t="str">
        <f>CLEAN("T OF CLAYTON  NORWEGIAN HOLLOW RD")</f>
        <v>T OF CLAYTON  NORWEGIAN HOLLOW RD</v>
      </c>
      <c r="G15" s="6" t="str">
        <f>CLEAN("BR JOHNSON VALLEY CR BR B-12-0247")</f>
        <v>BR JOHNSON VALLEY CR BR B-12-0247</v>
      </c>
      <c r="H15" s="6" t="str">
        <f>CLEAN("CONST OPS/BRIDGE REPLACEMENT")</f>
        <v>CONST OPS/BRIDGE REPLACEMENT</v>
      </c>
      <c r="I15" s="6" t="str">
        <f>CLEAN("LOC-STR")</f>
        <v>LOC-STR</v>
      </c>
      <c r="J15" s="6">
        <v>0</v>
      </c>
    </row>
    <row r="16" spans="1:10" x14ac:dyDescent="0.25">
      <c r="A16" s="6" t="str">
        <f t="shared" si="0"/>
        <v>CRAWFORD</v>
      </c>
      <c r="B16" s="7" t="str">
        <f>CLEAN("5997-00-40")</f>
        <v>5997-00-40</v>
      </c>
      <c r="C16" s="7" t="str">
        <f>CLEAN("5997-00-41")</f>
        <v>5997-00-41</v>
      </c>
      <c r="D16" s="7">
        <v>2023</v>
      </c>
      <c r="E16" s="8">
        <v>44873</v>
      </c>
      <c r="F16" s="6" t="str">
        <f>CLEAN("C PRAIRIE DU CHIEN  VILLA LOUIS RD")</f>
        <v>C PRAIRIE DU CHIEN  VILLA LOUIS RD</v>
      </c>
      <c r="G16" s="6" t="str">
        <f>CLEAN("BLACKHAWK AVENUE TO TERMINI")</f>
        <v>BLACKHAWK AVENUE TO TERMINI</v>
      </c>
      <c r="H16" s="6" t="str">
        <f>CLEAN("CONST OPS/RECONSTRUCT")</f>
        <v>CONST OPS/RECONSTRUCT</v>
      </c>
      <c r="I16" s="6" t="str">
        <f>CLEAN("LOC-STR")</f>
        <v>LOC-STR</v>
      </c>
      <c r="J16" s="6">
        <v>0.8</v>
      </c>
    </row>
    <row r="17" spans="1:10" x14ac:dyDescent="0.25">
      <c r="A17" s="6"/>
      <c r="B17" s="7"/>
      <c r="C17" s="7"/>
      <c r="D17" s="7"/>
      <c r="E17" s="8"/>
      <c r="F17" s="6"/>
      <c r="G17" s="6"/>
      <c r="H17" s="6"/>
      <c r="I17" s="6"/>
      <c r="J17" s="6"/>
    </row>
    <row r="18" spans="1:10" x14ac:dyDescent="0.25">
      <c r="A18" s="6" t="str">
        <f t="shared" ref="A18:A40" si="1">CLEAN("DANE")</f>
        <v>DANE</v>
      </c>
      <c r="B18" s="7" t="str">
        <f>CLEAN("5992-09-25")</f>
        <v>5992-09-25</v>
      </c>
      <c r="C18" s="7" t="str">
        <f>CLEAN("5992-09-26")</f>
        <v>5992-09-26</v>
      </c>
      <c r="D18" s="7">
        <v>2020</v>
      </c>
      <c r="E18" s="8">
        <v>43809</v>
      </c>
      <c r="F18" s="6" t="str">
        <f>CLEAN("C MADISON COTTAGE GROVE RD")</f>
        <v>C MADISON COTTAGE GROVE RD</v>
      </c>
      <c r="G18" s="6" t="str">
        <f>CLEAN("NORTH STAR DR TO SPRECHER ROAD")</f>
        <v>NORTH STAR DR TO SPRECHER ROAD</v>
      </c>
      <c r="H18" s="6" t="str">
        <f>CLEAN("CONST OPS/RECONSTRUCTION")</f>
        <v>CONST OPS/RECONSTRUCTION</v>
      </c>
      <c r="I18" s="6" t="str">
        <f>CLEAN("CTH-BB")</f>
        <v>CTH-BB</v>
      </c>
      <c r="J18" s="6">
        <v>0.83399999999999996</v>
      </c>
    </row>
    <row r="19" spans="1:10" x14ac:dyDescent="0.25">
      <c r="A19" s="6" t="str">
        <f t="shared" si="1"/>
        <v>DANE</v>
      </c>
      <c r="B19" s="7" t="str">
        <f>CLEAN("5992-09-25")</f>
        <v>5992-09-25</v>
      </c>
      <c r="C19" s="7" t="str">
        <f>CLEAN("5992-09-27")</f>
        <v>5992-09-27</v>
      </c>
      <c r="D19" s="7">
        <v>2020</v>
      </c>
      <c r="E19" s="8">
        <v>43809</v>
      </c>
      <c r="F19" s="6" t="str">
        <f>CLEAN("C MADISON COTTAGE GROVE RD")</f>
        <v>C MADISON COTTAGE GROVE RD</v>
      </c>
      <c r="G19" s="6" t="str">
        <f>CLEAN("NORTH STAR DR TO SPRECHER ROAD")</f>
        <v>NORTH STAR DR TO SPRECHER ROAD</v>
      </c>
      <c r="H19" s="6" t="str">
        <f>CLEAN("CONST OPS/WATER MAIN")</f>
        <v>CONST OPS/WATER MAIN</v>
      </c>
      <c r="I19" s="6" t="str">
        <f>CLEAN("CTH-BB")</f>
        <v>CTH-BB</v>
      </c>
      <c r="J19" s="6">
        <v>0.99299999999999999</v>
      </c>
    </row>
    <row r="20" spans="1:10" x14ac:dyDescent="0.25">
      <c r="A20" s="6" t="str">
        <f t="shared" si="1"/>
        <v>DANE</v>
      </c>
      <c r="B20" s="7" t="str">
        <f>CLEAN("5992-10-30")</f>
        <v>5992-10-30</v>
      </c>
      <c r="C20" s="7" t="str">
        <f>CLEAN("5992-10-31")</f>
        <v>5992-10-31</v>
      </c>
      <c r="D20" s="7">
        <v>2020</v>
      </c>
      <c r="E20" s="8">
        <v>43809</v>
      </c>
      <c r="F20" s="6" t="str">
        <f>CLEAN("CITY OF MADISON  GAMMON ROAD")</f>
        <v>CITY OF MADISON  GAMMON ROAD</v>
      </c>
      <c r="G20" s="6" t="str">
        <f>CLEAN("WEST TOWNE MALL TO GRAND CANYON DR")</f>
        <v>WEST TOWNE MALL TO GRAND CANYON DR</v>
      </c>
      <c r="H20" s="6" t="str">
        <f>CLEAN("CONST - UNDERPASS &amp; BIKE/PED PATH")</f>
        <v>CONST - UNDERPASS &amp; BIKE/PED PATH</v>
      </c>
      <c r="I20" s="6" t="str">
        <f>CLEAN("LOC-STR")</f>
        <v>LOC-STR</v>
      </c>
      <c r="J20" s="6">
        <v>0.38400000000000001</v>
      </c>
    </row>
    <row r="21" spans="1:10" x14ac:dyDescent="0.25">
      <c r="A21" s="6" t="str">
        <f t="shared" si="1"/>
        <v>DANE</v>
      </c>
      <c r="B21" s="7" t="str">
        <f>CLEAN("5992-10-30")</f>
        <v>5992-10-30</v>
      </c>
      <c r="C21" s="7" t="str">
        <f>CLEAN("5992-10-32")</f>
        <v>5992-10-32</v>
      </c>
      <c r="D21" s="7">
        <v>2020</v>
      </c>
      <c r="E21" s="8">
        <v>43809</v>
      </c>
      <c r="F21" s="6" t="str">
        <f>CLEAN("CITY OF MADISON  GAMMON ROAD")</f>
        <v>CITY OF MADISON  GAMMON ROAD</v>
      </c>
      <c r="G21" s="6" t="str">
        <f>CLEAN("USH 12 TO MINERAL POINT ROAD")</f>
        <v>USH 12 TO MINERAL POINT ROAD</v>
      </c>
      <c r="H21" s="6" t="str">
        <f>CLEAN("CONST OPS/PAVEMENT REPLACEMENT")</f>
        <v>CONST OPS/PAVEMENT REPLACEMENT</v>
      </c>
      <c r="I21" s="6" t="str">
        <f>CLEAN("LOC-STR")</f>
        <v>LOC-STR</v>
      </c>
      <c r="J21" s="6">
        <v>0.40799999999999997</v>
      </c>
    </row>
    <row r="22" spans="1:10" x14ac:dyDescent="0.25">
      <c r="A22" s="6" t="str">
        <f t="shared" si="1"/>
        <v>DANE</v>
      </c>
      <c r="B22" s="7" t="str">
        <f>CLEAN("5992-10-30")</f>
        <v>5992-10-30</v>
      </c>
      <c r="C22" s="7" t="str">
        <f>CLEAN("5992-10-33")</f>
        <v>5992-10-33</v>
      </c>
      <c r="D22" s="7">
        <v>2020</v>
      </c>
      <c r="E22" s="8">
        <v>43809</v>
      </c>
      <c r="F22" s="6" t="str">
        <f>CLEAN("CITY OF MADISON  GAMMON ROAD")</f>
        <v>CITY OF MADISON  GAMMON ROAD</v>
      </c>
      <c r="G22" s="6" t="str">
        <f>CLEAN("USH 12 TO MINERAL POINT ROAD")</f>
        <v>USH 12 TO MINERAL POINT ROAD</v>
      </c>
      <c r="H22" s="6" t="str">
        <f>CLEAN("CONST OPS/SANITARY WATER UTILITIES")</f>
        <v>CONST OPS/SANITARY WATER UTILITIES</v>
      </c>
      <c r="I22" s="6" t="str">
        <f>CLEAN("LOC-STR")</f>
        <v>LOC-STR</v>
      </c>
      <c r="J22" s="6">
        <v>0.40799999999999997</v>
      </c>
    </row>
    <row r="23" spans="1:10" x14ac:dyDescent="0.25">
      <c r="A23" s="6" t="str">
        <f t="shared" si="1"/>
        <v>DANE</v>
      </c>
      <c r="B23" s="7" t="str">
        <f>CLEAN("5992-08-37")</f>
        <v>5992-08-37</v>
      </c>
      <c r="C23" s="7" t="str">
        <f>CLEAN("5992-08-37")</f>
        <v>5992-08-37</v>
      </c>
      <c r="D23" s="7">
        <v>2020</v>
      </c>
      <c r="E23" s="8">
        <v>43824</v>
      </c>
      <c r="F23" s="6" t="str">
        <f>CLEAN("RIDESHARE COORDINATOR - 2020")</f>
        <v>RIDESHARE COORDINATOR - 2020</v>
      </c>
      <c r="G23" s="6" t="str">
        <f>CLEAN("MADISON AREA MPO")</f>
        <v>MADISON AREA MPO</v>
      </c>
      <c r="H23" s="6" t="str">
        <f>CLEAN("FUNDING FOR CALENDAR YEAR 2020")</f>
        <v>FUNDING FOR CALENDAR YEAR 2020</v>
      </c>
      <c r="I23" s="6" t="str">
        <f>CLEAN("NON-HWY")</f>
        <v>NON-HWY</v>
      </c>
      <c r="J23" s="6">
        <v>0</v>
      </c>
    </row>
    <row r="24" spans="1:10" x14ac:dyDescent="0.25">
      <c r="A24" s="6" t="str">
        <f t="shared" si="1"/>
        <v>DANE</v>
      </c>
      <c r="B24" s="7" t="str">
        <f>CLEAN("5992-08-45")</f>
        <v>5992-08-45</v>
      </c>
      <c r="C24" s="7" t="str">
        <f>CLEAN("5992-08-45")</f>
        <v>5992-08-45</v>
      </c>
      <c r="D24" s="7">
        <v>2020</v>
      </c>
      <c r="E24" s="8">
        <v>43824</v>
      </c>
      <c r="F24" s="6" t="str">
        <f>CLEAN("PEDESTRIAN BIKE SAFETY EDUCATION")</f>
        <v>PEDESTRIAN BIKE SAFETY EDUCATION</v>
      </c>
      <c r="G24" s="6" t="str">
        <f>CLEAN("CITY OF MADISON - 2020")</f>
        <v>CITY OF MADISON - 2020</v>
      </c>
      <c r="H24" s="6" t="str">
        <f>CLEAN("FUNDING FOR CALENDAR YEAR 2020")</f>
        <v>FUNDING FOR CALENDAR YEAR 2020</v>
      </c>
      <c r="I24" s="6" t="str">
        <f>CLEAN("NON-HWY")</f>
        <v>NON-HWY</v>
      </c>
      <c r="J24" s="6">
        <v>0</v>
      </c>
    </row>
    <row r="25" spans="1:10" x14ac:dyDescent="0.25">
      <c r="A25" s="6" t="str">
        <f t="shared" si="1"/>
        <v>DANE</v>
      </c>
      <c r="B25" s="7" t="str">
        <f>CLEAN("5849-02-01")</f>
        <v>5849-02-01</v>
      </c>
      <c r="C25" s="7" t="str">
        <f>CLEAN("5849-02-02")</f>
        <v>5849-02-02</v>
      </c>
      <c r="D25" s="7">
        <v>2020</v>
      </c>
      <c r="E25" s="8">
        <v>43872</v>
      </c>
      <c r="F25" s="6" t="str">
        <f>CLEAN("C FITCHBURG  MCKEE ROAD")</f>
        <v>C FITCHBURG  MCKEE ROAD</v>
      </c>
      <c r="G25" s="6" t="str">
        <f>CLEAN("COMMERCE PARK DR TO SEMINOLE HWY")</f>
        <v>COMMERCE PARK DR TO SEMINOLE HWY</v>
      </c>
      <c r="H25" s="6" t="str">
        <f>CLEAN("CONST OPS/RECONSTRUCTION")</f>
        <v>CONST OPS/RECONSTRUCTION</v>
      </c>
      <c r="I25" s="6" t="str">
        <f>CLEAN("CTH-PD")</f>
        <v>CTH-PD</v>
      </c>
      <c r="J25" s="6">
        <v>0.70899999999999996</v>
      </c>
    </row>
    <row r="26" spans="1:10" x14ac:dyDescent="0.25">
      <c r="A26" s="6" t="str">
        <f t="shared" si="1"/>
        <v>DANE</v>
      </c>
      <c r="B26" s="7" t="str">
        <f>CLEAN("5849-02-01")</f>
        <v>5849-02-01</v>
      </c>
      <c r="C26" s="7" t="str">
        <f>CLEAN("5849-02-03")</f>
        <v>5849-02-03</v>
      </c>
      <c r="D26" s="7">
        <v>2020</v>
      </c>
      <c r="E26" s="8">
        <v>43872</v>
      </c>
      <c r="F26" s="6" t="str">
        <f>CLEAN("C FITCHBURG  MCKEE ROAD")</f>
        <v>C FITCHBURG  MCKEE ROAD</v>
      </c>
      <c r="G26" s="6" t="str">
        <f>CLEAN("COMMERCE PARK DR TO SEMINOLE HWY")</f>
        <v>COMMERCE PARK DR TO SEMINOLE HWY</v>
      </c>
      <c r="H26" s="6" t="str">
        <f>CLEAN("CONST OPS/UTILITY")</f>
        <v>CONST OPS/UTILITY</v>
      </c>
      <c r="I26" s="6" t="str">
        <f>CLEAN("CTH-PD")</f>
        <v>CTH-PD</v>
      </c>
      <c r="J26" s="6">
        <v>0.70899999999999996</v>
      </c>
    </row>
    <row r="27" spans="1:10" x14ac:dyDescent="0.25">
      <c r="A27" s="6" t="str">
        <f t="shared" si="1"/>
        <v>DANE</v>
      </c>
      <c r="B27" s="7" t="str">
        <f>CLEAN("5844-00-04")</f>
        <v>5844-00-04</v>
      </c>
      <c r="C27" s="7" t="str">
        <f>CLEAN("5844-00-74")</f>
        <v>5844-00-74</v>
      </c>
      <c r="D27" s="7">
        <v>2021</v>
      </c>
      <c r="E27" s="8">
        <v>44173</v>
      </c>
      <c r="F27" s="6" t="str">
        <f>CLEAN("CTH FF - CTH KP")</f>
        <v>CTH FF - CTH KP</v>
      </c>
      <c r="G27" s="6" t="str">
        <f>CLEAN("E BR BLUE MOUND CK BRIDGE B-13-0686")</f>
        <v>E BR BLUE MOUND CK BRIDGE B-13-0686</v>
      </c>
      <c r="H27" s="6" t="str">
        <f>CLEAN("CONST OPS/BRIDGE REPLACEMENT")</f>
        <v>CONST OPS/BRIDGE REPLACEMENT</v>
      </c>
      <c r="I27" s="6" t="str">
        <f>CLEAN("CTH-F")</f>
        <v>CTH-F</v>
      </c>
      <c r="J27" s="6">
        <v>0</v>
      </c>
    </row>
    <row r="28" spans="1:10" x14ac:dyDescent="0.25">
      <c r="A28" s="6" t="str">
        <f t="shared" si="1"/>
        <v>DANE</v>
      </c>
      <c r="B28" s="7" t="str">
        <f>CLEAN("5848-00-01")</f>
        <v>5848-00-01</v>
      </c>
      <c r="C28" s="7" t="str">
        <f>CLEAN("5848-00-71")</f>
        <v>5848-00-71</v>
      </c>
      <c r="D28" s="7">
        <v>2021</v>
      </c>
      <c r="E28" s="8">
        <v>44173</v>
      </c>
      <c r="F28" s="6" t="str">
        <f>CLEAN("STH 92 - CTH PB")</f>
        <v>STH 92 - CTH PB</v>
      </c>
      <c r="G28" s="6" t="str">
        <f>CLEAN("MT VERNON CREEK BRIDGE  B-13-0687")</f>
        <v>MT VERNON CREEK BRIDGE  B-13-0687</v>
      </c>
      <c r="H28" s="6" t="str">
        <f>CLEAN("CONST OPS/BRIDGE REPLACEMENT")</f>
        <v>CONST OPS/BRIDGE REPLACEMENT</v>
      </c>
      <c r="I28" s="6" t="str">
        <f>CLEAN("CTH-A")</f>
        <v>CTH-A</v>
      </c>
      <c r="J28" s="6">
        <v>0</v>
      </c>
    </row>
    <row r="29" spans="1:10" x14ac:dyDescent="0.25">
      <c r="A29" s="6" t="str">
        <f t="shared" si="1"/>
        <v>DANE</v>
      </c>
      <c r="B29" s="7" t="str">
        <f>CLEAN("5992-08-38")</f>
        <v>5992-08-38</v>
      </c>
      <c r="C29" s="7" t="str">
        <f>CLEAN("5992-08-38")</f>
        <v>5992-08-38</v>
      </c>
      <c r="D29" s="7">
        <v>2021</v>
      </c>
      <c r="E29" s="8">
        <v>44190</v>
      </c>
      <c r="F29" s="6" t="str">
        <f>CLEAN("RIDESHARE COORDINATOR - 2021")</f>
        <v>RIDESHARE COORDINATOR - 2021</v>
      </c>
      <c r="G29" s="6" t="str">
        <f>CLEAN("MADISON AREA MPO")</f>
        <v>MADISON AREA MPO</v>
      </c>
      <c r="H29" s="6" t="str">
        <f>CLEAN("FUNDING FOR CALENDAR YEAR 2021")</f>
        <v>FUNDING FOR CALENDAR YEAR 2021</v>
      </c>
      <c r="I29" s="6" t="str">
        <f>CLEAN("NON-HWY")</f>
        <v>NON-HWY</v>
      </c>
      <c r="J29" s="6">
        <v>0</v>
      </c>
    </row>
    <row r="30" spans="1:10" x14ac:dyDescent="0.25">
      <c r="A30" s="6" t="str">
        <f t="shared" si="1"/>
        <v>DANE</v>
      </c>
      <c r="B30" s="7" t="str">
        <f>CLEAN("5992-08-46")</f>
        <v>5992-08-46</v>
      </c>
      <c r="C30" s="7" t="str">
        <f>CLEAN("5992-08-46")</f>
        <v>5992-08-46</v>
      </c>
      <c r="D30" s="7">
        <v>2021</v>
      </c>
      <c r="E30" s="8">
        <v>44190</v>
      </c>
      <c r="F30" s="6" t="str">
        <f>CLEAN("PEDESTRIAN BIKE SAFETY EDUCATION")</f>
        <v>PEDESTRIAN BIKE SAFETY EDUCATION</v>
      </c>
      <c r="G30" s="6" t="str">
        <f>CLEAN("CITY OF MADISON - 2021")</f>
        <v>CITY OF MADISON - 2021</v>
      </c>
      <c r="H30" s="6" t="str">
        <f>CLEAN("FUNDING FOR CALENDAR YEAR 2021")</f>
        <v>FUNDING FOR CALENDAR YEAR 2021</v>
      </c>
      <c r="I30" s="6" t="str">
        <f>CLEAN("NON-HWY")</f>
        <v>NON-HWY</v>
      </c>
      <c r="J30" s="6">
        <v>0</v>
      </c>
    </row>
    <row r="31" spans="1:10" x14ac:dyDescent="0.25">
      <c r="A31" s="6" t="str">
        <f t="shared" si="1"/>
        <v>DANE</v>
      </c>
      <c r="B31" s="7" t="str">
        <f>CLEAN("3626-00-03")</f>
        <v>3626-00-03</v>
      </c>
      <c r="C31" s="7" t="str">
        <f>CLEAN("3626-00-73")</f>
        <v>3626-00-73</v>
      </c>
      <c r="D31" s="7">
        <v>2022</v>
      </c>
      <c r="E31" s="8">
        <v>44418</v>
      </c>
      <c r="F31" s="6" t="str">
        <f>CLEAN("T OF DEERFIELD  LIBERTY ROAD")</f>
        <v>T OF DEERFIELD  LIBERTY ROAD</v>
      </c>
      <c r="G31" s="6" t="str">
        <f>CLEAN("OAK PARK RD TO ROBERT NELSON RD")</f>
        <v>OAK PARK RD TO ROBERT NELSON RD</v>
      </c>
      <c r="H31" s="6" t="str">
        <f>CLEAN("CONST OPS/RECONDITION")</f>
        <v>CONST OPS/RECONDITION</v>
      </c>
      <c r="I31" s="6" t="str">
        <f>CLEAN("LOC-STR")</f>
        <v>LOC-STR</v>
      </c>
      <c r="J31" s="6">
        <v>1.01</v>
      </c>
    </row>
    <row r="32" spans="1:10" x14ac:dyDescent="0.25">
      <c r="A32" s="6" t="str">
        <f t="shared" si="1"/>
        <v>DANE</v>
      </c>
      <c r="B32" s="7" t="str">
        <f>CLEAN("6218-00-03")</f>
        <v>6218-00-03</v>
      </c>
      <c r="C32" s="7" t="str">
        <f>CLEAN("6218-00-73")</f>
        <v>6218-00-73</v>
      </c>
      <c r="D32" s="7">
        <v>2022</v>
      </c>
      <c r="E32" s="8">
        <v>44418</v>
      </c>
      <c r="F32" s="6" t="str">
        <f>CLEAN("VILLAGE OF DANE - I39/90")</f>
        <v>VILLAGE OF DANE - I39/90</v>
      </c>
      <c r="G32" s="6" t="str">
        <f>CLEAN("STH 113 TO CTH I")</f>
        <v>STH 113 TO CTH I</v>
      </c>
      <c r="H32" s="6" t="str">
        <f>CLEAN("CONST OPS/RECONDITION")</f>
        <v>CONST OPS/RECONDITION</v>
      </c>
      <c r="I32" s="6" t="str">
        <f>CLEAN("CTH-V")</f>
        <v>CTH-V</v>
      </c>
      <c r="J32" s="6">
        <v>3.01</v>
      </c>
    </row>
    <row r="33" spans="1:10" x14ac:dyDescent="0.25">
      <c r="A33" s="6" t="str">
        <f t="shared" si="1"/>
        <v>DANE</v>
      </c>
      <c r="B33" s="7" t="str">
        <f>CLEAN("5992-11-30")</f>
        <v>5992-11-30</v>
      </c>
      <c r="C33" s="7" t="str">
        <f>CLEAN("5992-11-31")</f>
        <v>5992-11-31</v>
      </c>
      <c r="D33" s="7">
        <v>2022</v>
      </c>
      <c r="E33" s="8">
        <v>44509</v>
      </c>
      <c r="F33" s="6" t="str">
        <f>CLEAN("CITY OF MADISON  UNIVERSITY AVENUE")</f>
        <v>CITY OF MADISON  UNIVERSITY AVENUE</v>
      </c>
      <c r="G33" s="6" t="str">
        <f>CLEAN("SHOREWOOD BLVD TO UNIVERSITY BAY DR")</f>
        <v>SHOREWOOD BLVD TO UNIVERSITY BAY DR</v>
      </c>
      <c r="H33" s="6" t="str">
        <f>CLEAN("CONST OPS/RECONSTRUCTION")</f>
        <v>CONST OPS/RECONSTRUCTION</v>
      </c>
      <c r="I33" s="6" t="str">
        <f>CLEAN("LOC-STR")</f>
        <v>LOC-STR</v>
      </c>
      <c r="J33" s="6">
        <v>0.52</v>
      </c>
    </row>
    <row r="34" spans="1:10" x14ac:dyDescent="0.25">
      <c r="A34" s="6" t="str">
        <f t="shared" si="1"/>
        <v>DANE</v>
      </c>
      <c r="B34" s="7" t="str">
        <f>CLEAN("3622-00-08")</f>
        <v>3622-00-08</v>
      </c>
      <c r="C34" s="7" t="str">
        <f>CLEAN("3622-00-78")</f>
        <v>3622-00-78</v>
      </c>
      <c r="D34" s="7">
        <v>2022</v>
      </c>
      <c r="E34" s="8">
        <v>44544</v>
      </c>
      <c r="F34" s="6" t="str">
        <f>CLEAN("TOWN OF ALBION  AARBACK ROAD")</f>
        <v>TOWN OF ALBION  AARBACK ROAD</v>
      </c>
      <c r="G34" s="6" t="str">
        <f>CLEAN("KOSHKONONG CREEK BRIDGE  B-13-0688")</f>
        <v>KOSHKONONG CREEK BRIDGE  B-13-0688</v>
      </c>
      <c r="H34" s="6" t="str">
        <f>CLEAN("CONST OPS/BRIDGE REPLACEMENT")</f>
        <v>CONST OPS/BRIDGE REPLACEMENT</v>
      </c>
      <c r="I34" s="6" t="str">
        <f>CLEAN("LOC-STR")</f>
        <v>LOC-STR</v>
      </c>
      <c r="J34" s="6">
        <v>0.06</v>
      </c>
    </row>
    <row r="35" spans="1:10" x14ac:dyDescent="0.25">
      <c r="A35" s="6" t="str">
        <f t="shared" si="1"/>
        <v>DANE</v>
      </c>
      <c r="B35" s="7" t="str">
        <f>CLEAN("3625-00-02")</f>
        <v>3625-00-02</v>
      </c>
      <c r="C35" s="7" t="str">
        <f>CLEAN("3625-00-72")</f>
        <v>3625-00-72</v>
      </c>
      <c r="D35" s="7">
        <v>2022</v>
      </c>
      <c r="E35" s="8">
        <v>44544</v>
      </c>
      <c r="F35" s="6" t="str">
        <f>CLEAN("TOWN OF COTTAGE GROVE  UPHOFF RD")</f>
        <v>TOWN OF COTTAGE GROVE  UPHOFF RD</v>
      </c>
      <c r="G35" s="6" t="str">
        <f>CLEAN("KOSHKONONG CREEK BRIDGE  B-13-0690")</f>
        <v>KOSHKONONG CREEK BRIDGE  B-13-0690</v>
      </c>
      <c r="H35" s="6" t="str">
        <f>CLEAN("CONST OPS/BRIDGE REPLACEMENT")</f>
        <v>CONST OPS/BRIDGE REPLACEMENT</v>
      </c>
      <c r="I35" s="6" t="str">
        <f>CLEAN("LOC-STR")</f>
        <v>LOC-STR</v>
      </c>
      <c r="J35" s="6">
        <v>1.4E-2</v>
      </c>
    </row>
    <row r="36" spans="1:10" x14ac:dyDescent="0.25">
      <c r="A36" s="6" t="str">
        <f t="shared" si="1"/>
        <v>DANE</v>
      </c>
      <c r="B36" s="7" t="str">
        <f>CLEAN("3625-00-03")</f>
        <v>3625-00-03</v>
      </c>
      <c r="C36" s="7" t="str">
        <f>CLEAN("3625-00-73")</f>
        <v>3625-00-73</v>
      </c>
      <c r="D36" s="7">
        <v>2022</v>
      </c>
      <c r="E36" s="8">
        <v>44544</v>
      </c>
      <c r="F36" s="6" t="str">
        <f>CLEAN("TOWN OF COTTAGE GROVE  FEMRITE DR")</f>
        <v>TOWN OF COTTAGE GROVE  FEMRITE DR</v>
      </c>
      <c r="G36" s="6" t="str">
        <f>CLEAN("DOOR CREEK BRIDGE  B-13-0689")</f>
        <v>DOOR CREEK BRIDGE  B-13-0689</v>
      </c>
      <c r="H36" s="6" t="str">
        <f>CLEAN("CONST OPS/BRIDGE REPLACEMENT")</f>
        <v>CONST OPS/BRIDGE REPLACEMENT</v>
      </c>
      <c r="I36" s="6" t="str">
        <f>CLEAN("LOC-STR")</f>
        <v>LOC-STR</v>
      </c>
      <c r="J36" s="6">
        <v>6.0000000000000001E-3</v>
      </c>
    </row>
    <row r="37" spans="1:10" x14ac:dyDescent="0.25">
      <c r="A37" s="6" t="str">
        <f t="shared" si="1"/>
        <v>DANE</v>
      </c>
      <c r="B37" s="7" t="str">
        <f>CLEAN("5728-00-03")</f>
        <v>5728-00-03</v>
      </c>
      <c r="C37" s="7" t="str">
        <f>CLEAN("5728-00-73")</f>
        <v>5728-00-73</v>
      </c>
      <c r="D37" s="7">
        <v>2022</v>
      </c>
      <c r="E37" s="8">
        <v>44544</v>
      </c>
      <c r="F37" s="6" t="str">
        <f>CLEAN("TOWN OF PERRY  DRAMMEN VALLERY RD")</f>
        <v>TOWN OF PERRY  DRAMMEN VALLERY RD</v>
      </c>
      <c r="G37" s="6" t="str">
        <f>CLEAN("PLEASANT VALLEY BR BRIDGE B-13-0691")</f>
        <v>PLEASANT VALLEY BR BRIDGE B-13-0691</v>
      </c>
      <c r="H37" s="6" t="str">
        <f>CLEAN("CONST OPS/BRIDGE REPLACEMNET")</f>
        <v>CONST OPS/BRIDGE REPLACEMNET</v>
      </c>
      <c r="I37" s="6" t="str">
        <f>CLEAN("LOC-STR")</f>
        <v>LOC-STR</v>
      </c>
      <c r="J37" s="6">
        <v>6.0000000000000001E-3</v>
      </c>
    </row>
    <row r="38" spans="1:10" x14ac:dyDescent="0.25">
      <c r="A38" s="6" t="str">
        <f t="shared" si="1"/>
        <v>DANE</v>
      </c>
      <c r="B38" s="7" t="str">
        <f>CLEAN("5992-08-39")</f>
        <v>5992-08-39</v>
      </c>
      <c r="C38" s="7" t="str">
        <f>CLEAN("5992-08-39")</f>
        <v>5992-08-39</v>
      </c>
      <c r="D38" s="7">
        <v>2022</v>
      </c>
      <c r="E38" s="8">
        <v>44555</v>
      </c>
      <c r="F38" s="6" t="str">
        <f>CLEAN("RIDESHARE COORDINATOR - 2022")</f>
        <v>RIDESHARE COORDINATOR - 2022</v>
      </c>
      <c r="G38" s="6" t="str">
        <f>CLEAN("MADISON AREA MPO")</f>
        <v>MADISON AREA MPO</v>
      </c>
      <c r="H38" s="6" t="str">
        <f>CLEAN("FUNDING FOR CALENDAR YEAR 2022")</f>
        <v>FUNDING FOR CALENDAR YEAR 2022</v>
      </c>
      <c r="I38" s="6" t="str">
        <f>CLEAN("NON-HWY")</f>
        <v>NON-HWY</v>
      </c>
      <c r="J38" s="6">
        <v>0</v>
      </c>
    </row>
    <row r="39" spans="1:10" x14ac:dyDescent="0.25">
      <c r="A39" s="6" t="str">
        <f t="shared" si="1"/>
        <v>DANE</v>
      </c>
      <c r="B39" s="7" t="str">
        <f>CLEAN("5992-08-47")</f>
        <v>5992-08-47</v>
      </c>
      <c r="C39" s="7" t="str">
        <f>CLEAN("5992-08-47")</f>
        <v>5992-08-47</v>
      </c>
      <c r="D39" s="7">
        <v>2022</v>
      </c>
      <c r="E39" s="8">
        <v>44555</v>
      </c>
      <c r="F39" s="6" t="str">
        <f>CLEAN("PEDESTRIAN BIKE SAFETY EDUCATION")</f>
        <v>PEDESTRIAN BIKE SAFETY EDUCATION</v>
      </c>
      <c r="G39" s="6" t="str">
        <f>CLEAN("CITY OF MADISON - 2022")</f>
        <v>CITY OF MADISON - 2022</v>
      </c>
      <c r="H39" s="6" t="str">
        <f>CLEAN("FUNDING FOR CALENDAR YEAR 2022")</f>
        <v>FUNDING FOR CALENDAR YEAR 2022</v>
      </c>
      <c r="I39" s="6" t="str">
        <f>CLEAN("NON-HWY")</f>
        <v>NON-HWY</v>
      </c>
      <c r="J39" s="6">
        <v>0</v>
      </c>
    </row>
    <row r="40" spans="1:10" x14ac:dyDescent="0.25">
      <c r="A40" s="6" t="str">
        <f t="shared" si="1"/>
        <v>DANE</v>
      </c>
      <c r="B40" s="7" t="str">
        <f>CLEAN("5992-10-03")</f>
        <v>5992-10-03</v>
      </c>
      <c r="C40" s="7" t="str">
        <f>CLEAN("5992-10-04")</f>
        <v>5992-10-04</v>
      </c>
      <c r="D40" s="7">
        <v>2023</v>
      </c>
      <c r="E40" s="8">
        <v>44908</v>
      </c>
      <c r="F40" s="6" t="str">
        <f>CLEAN("V SHOREWOOD HILLS  LAKE MENDOTA DR")</f>
        <v>V SHOREWOOD HILLS  LAKE MENDOTA DR</v>
      </c>
      <c r="G40" s="6" t="str">
        <f>CLEAN("MULTI-USE TRAIL  B-13-0692")</f>
        <v>MULTI-USE TRAIL  B-13-0692</v>
      </c>
      <c r="H40" s="6" t="str">
        <f>CLEAN("CONST OPS/BRIDGE REPLACEMENT")</f>
        <v>CONST OPS/BRIDGE REPLACEMENT</v>
      </c>
      <c r="I40" s="6" t="str">
        <f>CLEAN("LOC-STR")</f>
        <v>LOC-STR</v>
      </c>
      <c r="J40" s="6">
        <v>1.6E-2</v>
      </c>
    </row>
    <row r="41" spans="1:10" x14ac:dyDescent="0.25">
      <c r="A41" s="6" t="s">
        <v>17</v>
      </c>
      <c r="B41" s="7" t="s">
        <v>18</v>
      </c>
      <c r="C41" s="10" t="s">
        <v>19</v>
      </c>
      <c r="D41" s="7" t="s">
        <v>23</v>
      </c>
      <c r="E41" s="8" t="s">
        <v>23</v>
      </c>
      <c r="F41" s="6" t="s">
        <v>20</v>
      </c>
      <c r="G41" s="6" t="s">
        <v>21</v>
      </c>
      <c r="H41" s="6" t="s">
        <v>22</v>
      </c>
      <c r="I41" s="6" t="s">
        <v>16</v>
      </c>
      <c r="J41" s="6">
        <v>0.70599999999999996</v>
      </c>
    </row>
    <row r="42" spans="1:10" x14ac:dyDescent="0.25">
      <c r="A42" s="6"/>
      <c r="B42" s="7"/>
      <c r="C42" s="7"/>
      <c r="D42" s="7"/>
      <c r="E42" s="8"/>
      <c r="F42" s="6"/>
      <c r="G42" s="6"/>
      <c r="H42" s="6"/>
      <c r="I42" s="6"/>
      <c r="J42" s="6"/>
    </row>
    <row r="43" spans="1:10" x14ac:dyDescent="0.25">
      <c r="A43" s="6" t="str">
        <f t="shared" ref="A43:A51" si="2">CLEAN("DODGE")</f>
        <v>DODGE</v>
      </c>
      <c r="B43" s="7" t="str">
        <f>CLEAN("6998-05-04")</f>
        <v>6998-05-04</v>
      </c>
      <c r="C43" s="7" t="str">
        <f>CLEAN("6998-05-05")</f>
        <v>6998-05-05</v>
      </c>
      <c r="D43" s="7">
        <v>2021</v>
      </c>
      <c r="E43" s="8">
        <v>44054</v>
      </c>
      <c r="F43" s="6" t="str">
        <f>CLEAN("CITY WAUPUN  S MADISON STREET")</f>
        <v>CITY WAUPUN  S MADISON STREET</v>
      </c>
      <c r="G43" s="6" t="str">
        <f>CLEAN("DOTY STREET TO E LINCOLN STREET")</f>
        <v>DOTY STREET TO E LINCOLN STREET</v>
      </c>
      <c r="H43" s="6" t="str">
        <f>CLEAN("CONST OPS/RECONSTRUCT")</f>
        <v>CONST OPS/RECONSTRUCT</v>
      </c>
      <c r="I43" s="6" t="str">
        <f>CLEAN("LOC-STR")</f>
        <v>LOC-STR</v>
      </c>
      <c r="J43" s="6">
        <v>0.38</v>
      </c>
    </row>
    <row r="44" spans="1:10" x14ac:dyDescent="0.25">
      <c r="A44" s="6" t="str">
        <f t="shared" si="2"/>
        <v>DODGE</v>
      </c>
      <c r="B44" s="7" t="str">
        <f>CLEAN("3818-00-00")</f>
        <v>3818-00-00</v>
      </c>
      <c r="C44" s="7" t="str">
        <f>CLEAN("3818-00-70")</f>
        <v>3818-00-70</v>
      </c>
      <c r="D44" s="7">
        <v>2021</v>
      </c>
      <c r="E44" s="8">
        <v>44173</v>
      </c>
      <c r="F44" s="6" t="str">
        <f>CLEAN("TOWN OF HERMAN  BUCHANAN RD")</f>
        <v>TOWN OF HERMAN  BUCHANAN RD</v>
      </c>
      <c r="G44" s="6" t="str">
        <f>CLEAN("BUTLER CREEK BRIDGE  B-14-0224")</f>
        <v>BUTLER CREEK BRIDGE  B-14-0224</v>
      </c>
      <c r="H44" s="6" t="str">
        <f>CLEAN("CONST OPS/BRIDGE REPLACEMENT")</f>
        <v>CONST OPS/BRIDGE REPLACEMENT</v>
      </c>
      <c r="I44" s="6" t="str">
        <f>CLEAN("LOC-STR")</f>
        <v>LOC-STR</v>
      </c>
      <c r="J44" s="6">
        <v>1.4E-2</v>
      </c>
    </row>
    <row r="45" spans="1:10" x14ac:dyDescent="0.25">
      <c r="A45" s="6" t="str">
        <f t="shared" si="2"/>
        <v>DODGE</v>
      </c>
      <c r="B45" s="7" t="str">
        <f>CLEAN("3887-01-02")</f>
        <v>3887-01-02</v>
      </c>
      <c r="C45" s="7" t="str">
        <f>CLEAN("3887-01-72")</f>
        <v>3887-01-72</v>
      </c>
      <c r="D45" s="7">
        <v>2021</v>
      </c>
      <c r="E45" s="8">
        <v>44173</v>
      </c>
      <c r="F45" s="6" t="str">
        <f>CLEAN("USH 151 - CTH A")</f>
        <v>USH 151 - CTH A</v>
      </c>
      <c r="G45" s="6" t="str">
        <f>CLEAN("CORPORATE DR/FRANCES LN INTERSECTN")</f>
        <v>CORPORATE DR/FRANCES LN INTERSECTN</v>
      </c>
      <c r="H45" s="6" t="str">
        <f>CLEAN("CONST/ADD LEFT TURN LANE")</f>
        <v>CONST/ADD LEFT TURN LANE</v>
      </c>
      <c r="I45" s="6" t="str">
        <f>CLEAN("LOC-STR")</f>
        <v>LOC-STR</v>
      </c>
      <c r="J45" s="6">
        <v>4.2000000000000003E-2</v>
      </c>
    </row>
    <row r="46" spans="1:10" x14ac:dyDescent="0.25">
      <c r="A46" s="6" t="str">
        <f t="shared" si="2"/>
        <v>DODGE</v>
      </c>
      <c r="B46" s="7" t="str">
        <f>CLEAN("3898-00-02")</f>
        <v>3898-00-02</v>
      </c>
      <c r="C46" s="7" t="str">
        <f>CLEAN("3898-00-72")</f>
        <v>3898-00-72</v>
      </c>
      <c r="D46" s="7">
        <v>2021</v>
      </c>
      <c r="E46" s="8">
        <v>44173</v>
      </c>
      <c r="F46" s="6" t="str">
        <f>CLEAN("CTH T - CTH G")</f>
        <v>CTH T - CTH G</v>
      </c>
      <c r="G46" s="6" t="str">
        <f>CLEAN("CALAMUS CREEK BRIDGE  B-14-0220")</f>
        <v>CALAMUS CREEK BRIDGE  B-14-0220</v>
      </c>
      <c r="H46" s="6" t="str">
        <f>CLEAN("CONST OPS/BRIDGE REPLACEMENT")</f>
        <v>CONST OPS/BRIDGE REPLACEMENT</v>
      </c>
      <c r="I46" s="6" t="str">
        <f>CLEAN("CTH-S")</f>
        <v>CTH-S</v>
      </c>
      <c r="J46" s="6">
        <v>6.0000000000000001E-3</v>
      </c>
    </row>
    <row r="47" spans="1:10" x14ac:dyDescent="0.25">
      <c r="A47" s="6" t="str">
        <f t="shared" si="2"/>
        <v>DODGE</v>
      </c>
      <c r="B47" s="7" t="str">
        <f>CLEAN("3898-00-03")</f>
        <v>3898-00-03</v>
      </c>
      <c r="C47" s="7" t="str">
        <f>CLEAN("3898-00-73")</f>
        <v>3898-00-73</v>
      </c>
      <c r="D47" s="7">
        <v>2021</v>
      </c>
      <c r="E47" s="8">
        <v>44173</v>
      </c>
      <c r="F47" s="6" t="str">
        <f>CLEAN("CTH T - CTH G")</f>
        <v>CTH T - CTH G</v>
      </c>
      <c r="G47" s="6" t="str">
        <f>CLEAN("BEAVER DAM RIVER BRIDGE  B-14-0221")</f>
        <v>BEAVER DAM RIVER BRIDGE  B-14-0221</v>
      </c>
      <c r="H47" s="6" t="str">
        <f>CLEAN("CONST OPS/BRIDGE REPLACEMENT")</f>
        <v>CONST OPS/BRIDGE REPLACEMENT</v>
      </c>
      <c r="I47" s="6" t="str">
        <f>CLEAN("CTH-S")</f>
        <v>CTH-S</v>
      </c>
      <c r="J47" s="6">
        <v>2.1000000000000001E-2</v>
      </c>
    </row>
    <row r="48" spans="1:10" x14ac:dyDescent="0.25">
      <c r="A48" s="6" t="str">
        <f t="shared" si="2"/>
        <v>DODGE</v>
      </c>
      <c r="B48" s="7" t="str">
        <f>CLEAN("3804-00-04")</f>
        <v>3804-00-04</v>
      </c>
      <c r="C48" s="7" t="str">
        <f>CLEAN("3804-00-74")</f>
        <v>3804-00-74</v>
      </c>
      <c r="D48" s="7">
        <v>2021</v>
      </c>
      <c r="E48" s="8">
        <v>44264</v>
      </c>
      <c r="F48" s="6" t="str">
        <f>CLEAN("TOWN OF LOWELL  BOBOLINK RD")</f>
        <v>TOWN OF LOWELL  BOBOLINK RD</v>
      </c>
      <c r="G48" s="6" t="str">
        <f>CLEAN("CPRS RAIL ROAD BRIDGE  B-14-0225")</f>
        <v>CPRS RAIL ROAD BRIDGE  B-14-0225</v>
      </c>
      <c r="H48" s="6" t="str">
        <f>CLEAN("CONST OPS/BRIDGE REPLACEMENT")</f>
        <v>CONST OPS/BRIDGE REPLACEMENT</v>
      </c>
      <c r="I48" s="6" t="str">
        <f>CLEAN("LOC-STR")</f>
        <v>LOC-STR</v>
      </c>
      <c r="J48" s="6">
        <v>0.03</v>
      </c>
    </row>
    <row r="49" spans="1:10" x14ac:dyDescent="0.25">
      <c r="A49" s="6" t="str">
        <f t="shared" si="2"/>
        <v>DODGE</v>
      </c>
      <c r="B49" s="7" t="str">
        <f>CLEAN("3810-00-01")</f>
        <v>3810-00-01</v>
      </c>
      <c r="C49" s="7" t="str">
        <f>CLEAN("3810-00-71")</f>
        <v>3810-00-71</v>
      </c>
      <c r="D49" s="7">
        <v>2022</v>
      </c>
      <c r="E49" s="8">
        <v>44544</v>
      </c>
      <c r="F49" s="6" t="str">
        <f>CLEAN("TOWN OF EMMET  APPLE RD")</f>
        <v>TOWN OF EMMET  APPLE RD</v>
      </c>
      <c r="G49" s="6" t="str">
        <f>CLEAN("SILVER CREEK BRIDGE  B-14-0223")</f>
        <v>SILVER CREEK BRIDGE  B-14-0223</v>
      </c>
      <c r="H49" s="6" t="str">
        <f>CLEAN("CONST OPS/BRIDGE REPLACEMENT")</f>
        <v>CONST OPS/BRIDGE REPLACEMENT</v>
      </c>
      <c r="I49" s="6" t="str">
        <f>CLEAN("LOC-STR")</f>
        <v>LOC-STR</v>
      </c>
      <c r="J49" s="6">
        <v>7.0000000000000001E-3</v>
      </c>
    </row>
    <row r="50" spans="1:10" x14ac:dyDescent="0.25">
      <c r="A50" s="6" t="str">
        <f t="shared" si="2"/>
        <v>DODGE</v>
      </c>
      <c r="B50" s="7" t="str">
        <f>CLEAN("3907-00-00")</f>
        <v>3907-00-00</v>
      </c>
      <c r="C50" s="7" t="str">
        <f>CLEAN("3907-00-70")</f>
        <v>3907-00-70</v>
      </c>
      <c r="D50" s="7">
        <v>2022</v>
      </c>
      <c r="E50" s="8">
        <v>44544</v>
      </c>
      <c r="F50" s="6" t="str">
        <f>CLEAN("STH 16 - CTH G")</f>
        <v>STH 16 - CTH G</v>
      </c>
      <c r="G50" s="6" t="str">
        <f>CLEAN("BEAVER DAM RIVER BRIDGE  B-14-0222")</f>
        <v>BEAVER DAM RIVER BRIDGE  B-14-0222</v>
      </c>
      <c r="H50" s="6" t="str">
        <f>CLEAN("CONST OPS/BRIDGE REPLACEMENT")</f>
        <v>CONST OPS/BRIDGE REPLACEMENT</v>
      </c>
      <c r="I50" s="6" t="str">
        <f>CLEAN("CTH-J")</f>
        <v>CTH-J</v>
      </c>
      <c r="J50" s="6">
        <v>1.6E-2</v>
      </c>
    </row>
    <row r="51" spans="1:10" x14ac:dyDescent="0.25">
      <c r="A51" s="6" t="str">
        <f t="shared" si="2"/>
        <v>DODGE</v>
      </c>
      <c r="B51" s="7" t="str">
        <f>CLEAN("6995-00-12")</f>
        <v>6995-00-12</v>
      </c>
      <c r="C51" s="7" t="str">
        <f>CLEAN("6995-00-13")</f>
        <v>6995-00-13</v>
      </c>
      <c r="D51" s="7">
        <v>2022</v>
      </c>
      <c r="E51" s="8">
        <v>44544</v>
      </c>
      <c r="F51" s="6" t="str">
        <f>CLEAN("C BEAVER DAM  EAST DAVIS STREET")</f>
        <v>C BEAVER DAM  EAST DAVIS STREET</v>
      </c>
      <c r="G51" s="6" t="str">
        <f>CLEAN("S SPRING STREET TO S UNIVERSITY AVE")</f>
        <v>S SPRING STREET TO S UNIVERSITY AVE</v>
      </c>
      <c r="H51" s="6" t="str">
        <f>CLEAN("CONST OPS/RECONSTRUCT")</f>
        <v>CONST OPS/RECONSTRUCT</v>
      </c>
      <c r="I51" s="6" t="str">
        <f>CLEAN("LOC-STR")</f>
        <v>LOC-STR</v>
      </c>
      <c r="J51" s="6">
        <v>0.43</v>
      </c>
    </row>
    <row r="52" spans="1:10" x14ac:dyDescent="0.25">
      <c r="A52" s="6"/>
      <c r="B52" s="7"/>
      <c r="C52" s="7"/>
      <c r="D52" s="7"/>
      <c r="E52" s="8"/>
      <c r="F52" s="6"/>
      <c r="G52" s="6"/>
      <c r="H52" s="6"/>
      <c r="I52" s="6"/>
      <c r="J52" s="6"/>
    </row>
    <row r="53" spans="1:10" x14ac:dyDescent="0.25">
      <c r="A53" s="6" t="str">
        <f t="shared" ref="A53:A58" si="3">CLEAN("GRANT")</f>
        <v>GRANT</v>
      </c>
      <c r="B53" s="7" t="str">
        <f>CLEAN("5667-00-05")</f>
        <v>5667-00-05</v>
      </c>
      <c r="C53" s="7" t="str">
        <f>CLEAN("5667-00-75")</f>
        <v>5667-00-75</v>
      </c>
      <c r="D53" s="7">
        <v>2021</v>
      </c>
      <c r="E53" s="8">
        <v>44173</v>
      </c>
      <c r="F53" s="6" t="str">
        <f>CLEAN("C OF FENNIMORE - T CASTLE ROCK")</f>
        <v>C OF FENNIMORE - T CASTLE ROCK</v>
      </c>
      <c r="G53" s="6" t="str">
        <f>CLEAN("US 61 TO CTH G")</f>
        <v>US 61 TO CTH G</v>
      </c>
      <c r="H53" s="6" t="str">
        <f>CLEAN("CONST OPS/RECONSTRUCT")</f>
        <v>CONST OPS/RECONSTRUCT</v>
      </c>
      <c r="I53" s="6" t="str">
        <f>CLEAN("CTH-Q")</f>
        <v>CTH-Q</v>
      </c>
      <c r="J53" s="6">
        <v>10.1</v>
      </c>
    </row>
    <row r="54" spans="1:10" x14ac:dyDescent="0.25">
      <c r="A54" s="6" t="str">
        <f t="shared" si="3"/>
        <v>GRANT</v>
      </c>
      <c r="B54" s="7" t="str">
        <f>CLEAN("5691-00-09")</f>
        <v>5691-00-09</v>
      </c>
      <c r="C54" s="7" t="str">
        <f>CLEAN("5691-00-79")</f>
        <v>5691-00-79</v>
      </c>
      <c r="D54" s="7">
        <v>2021</v>
      </c>
      <c r="E54" s="8">
        <v>44173</v>
      </c>
      <c r="F54" s="6" t="str">
        <f>CLEAN("TOWN OF N LANCASTER  BORAH RD")</f>
        <v>TOWN OF N LANCASTER  BORAH RD</v>
      </c>
      <c r="G54" s="6" t="str">
        <f>CLEAN("BORAH CREEK BRIDGE  B-22-0294")</f>
        <v>BORAH CREEK BRIDGE  B-22-0294</v>
      </c>
      <c r="H54" s="6" t="str">
        <f>CLEAN("CONST OPS/BRIDGE REPLACEMENT")</f>
        <v>CONST OPS/BRIDGE REPLACEMENT</v>
      </c>
      <c r="I54" s="6" t="str">
        <f>CLEAN("LOC-STR")</f>
        <v>LOC-STR</v>
      </c>
      <c r="J54" s="6">
        <v>2.5999999999999999E-2</v>
      </c>
    </row>
    <row r="55" spans="1:10" x14ac:dyDescent="0.25">
      <c r="A55" s="6" t="str">
        <f t="shared" si="3"/>
        <v>GRANT</v>
      </c>
      <c r="B55" s="7" t="str">
        <f>CLEAN("5721-00-05")</f>
        <v>5721-00-05</v>
      </c>
      <c r="C55" s="7" t="str">
        <f>CLEAN("5721-00-75")</f>
        <v>5721-00-75</v>
      </c>
      <c r="D55" s="7">
        <v>2021</v>
      </c>
      <c r="E55" s="8">
        <v>44173</v>
      </c>
      <c r="F55" s="6" t="str">
        <f>CLEAN("TOWN OF JAMESTOWN  JIMTOWN RD")</f>
        <v>TOWN OF JAMESTOWN  JIMTOWN RD</v>
      </c>
      <c r="G55" s="6" t="str">
        <f>CLEAN("KIELER CREEK BRIDGE  B-22-0293")</f>
        <v>KIELER CREEK BRIDGE  B-22-0293</v>
      </c>
      <c r="H55" s="6" t="str">
        <f>CLEAN("CONST OPS/BRIDGE REPLACEMENT")</f>
        <v>CONST OPS/BRIDGE REPLACEMENT</v>
      </c>
      <c r="I55" s="6" t="str">
        <f>CLEAN("LOC-STR")</f>
        <v>LOC-STR</v>
      </c>
      <c r="J55" s="6">
        <v>2.4E-2</v>
      </c>
    </row>
    <row r="56" spans="1:10" x14ac:dyDescent="0.25">
      <c r="A56" s="6" t="str">
        <f t="shared" si="3"/>
        <v>GRANT</v>
      </c>
      <c r="B56" s="7" t="str">
        <f>CLEAN("5985-00-07")</f>
        <v>5985-00-07</v>
      </c>
      <c r="C56" s="7" t="str">
        <f>CLEAN("5985-00-77")</f>
        <v>5985-00-77</v>
      </c>
      <c r="D56" s="7">
        <v>2021</v>
      </c>
      <c r="E56" s="8">
        <v>44173</v>
      </c>
      <c r="F56" s="6" t="str">
        <f>CLEAN("V OF POTOSI  BREWERY HOLLOW RD")</f>
        <v>V OF POTOSI  BREWERY HOLLOW RD</v>
      </c>
      <c r="G56" s="6" t="str">
        <f>CLEAN("POTOSI BRANCH BRIDGE  B-22-0295")</f>
        <v>POTOSI BRANCH BRIDGE  B-22-0295</v>
      </c>
      <c r="H56" s="6" t="str">
        <f>CLEAN("CONST OPS/BRIDGE REPLACEMENT")</f>
        <v>CONST OPS/BRIDGE REPLACEMENT</v>
      </c>
      <c r="I56" s="6" t="str">
        <f>CLEAN("LOC-STR")</f>
        <v>LOC-STR</v>
      </c>
      <c r="J56" s="6">
        <v>2.4E-2</v>
      </c>
    </row>
    <row r="57" spans="1:10" x14ac:dyDescent="0.25">
      <c r="A57" s="6" t="str">
        <f t="shared" si="3"/>
        <v>GRANT</v>
      </c>
      <c r="B57" s="7" t="str">
        <f>CLEAN("5996-00-07")</f>
        <v>5996-00-07</v>
      </c>
      <c r="C57" s="7" t="str">
        <f>CLEAN("5996-00-77")</f>
        <v>5996-00-77</v>
      </c>
      <c r="D57" s="7">
        <v>2021</v>
      </c>
      <c r="E57" s="8">
        <v>44173</v>
      </c>
      <c r="F57" s="6" t="str">
        <f>CLEAN("C PLATTEVILLE  BUSINESS 151")</f>
        <v>C PLATTEVILLE  BUSINESS 151</v>
      </c>
      <c r="G57" s="6" t="str">
        <f>CLEAN("STALEY AVENUE TO COMMERCIAL DRIVE")</f>
        <v>STALEY AVENUE TO COMMERCIAL DRIVE</v>
      </c>
      <c r="H57" s="6" t="str">
        <f>CLEAN("CONST/ROAD DIET/LEFT TURN/MONOTUBE")</f>
        <v>CONST/ROAD DIET/LEFT TURN/MONOTUBE</v>
      </c>
      <c r="I57" s="6" t="str">
        <f>CLEAN("LOC-STR")</f>
        <v>LOC-STR</v>
      </c>
      <c r="J57" s="6">
        <v>2.2749999999999999</v>
      </c>
    </row>
    <row r="58" spans="1:10" x14ac:dyDescent="0.25">
      <c r="A58" s="6" t="str">
        <f t="shared" si="3"/>
        <v>GRANT</v>
      </c>
      <c r="B58" s="7" t="str">
        <f>CLEAN("5615-00-05")</f>
        <v>5615-00-05</v>
      </c>
      <c r="C58" s="7" t="str">
        <f>CLEAN("5615-00-75")</f>
        <v>5615-00-75</v>
      </c>
      <c r="D58" s="7">
        <v>2022</v>
      </c>
      <c r="E58" s="8">
        <v>44544</v>
      </c>
      <c r="F58" s="6" t="str">
        <f>CLEAN("V BLOOMINGTON - T LITTLE GRANT")</f>
        <v>V BLOOMINGTON - T LITTLE GRANT</v>
      </c>
      <c r="G58" s="6" t="str">
        <f>CLEAN("STH 35 TO CTH J")</f>
        <v>STH 35 TO CTH J</v>
      </c>
      <c r="H58" s="6" t="str">
        <f>CLEAN("CONST OPS/RECST/BRRPL")</f>
        <v>CONST OPS/RECST/BRRPL</v>
      </c>
      <c r="I58" s="6" t="str">
        <f>CLEAN("CTH-A")</f>
        <v>CTH-A</v>
      </c>
      <c r="J58" s="6">
        <v>4.18</v>
      </c>
    </row>
    <row r="59" spans="1:10" x14ac:dyDescent="0.25">
      <c r="A59" s="6"/>
      <c r="B59" s="7"/>
      <c r="C59" s="7"/>
      <c r="D59" s="7"/>
      <c r="E59" s="8"/>
      <c r="F59" s="6"/>
      <c r="G59" s="6"/>
      <c r="H59" s="6"/>
      <c r="I59" s="6"/>
      <c r="J59" s="6"/>
    </row>
    <row r="60" spans="1:10" x14ac:dyDescent="0.25">
      <c r="A60" s="6" t="str">
        <f>CLEAN("GREEN")</f>
        <v>GREEN</v>
      </c>
      <c r="B60" s="7" t="str">
        <f>CLEAN("5208-00-03")</f>
        <v>5208-00-03</v>
      </c>
      <c r="C60" s="7" t="str">
        <f>CLEAN("5208-00-73")</f>
        <v>5208-00-73</v>
      </c>
      <c r="D60" s="7">
        <v>2021</v>
      </c>
      <c r="E60" s="8">
        <v>44236</v>
      </c>
      <c r="F60" s="6" t="str">
        <f>CLEAN("CTH X - CTH E")</f>
        <v>CTH X - CTH E</v>
      </c>
      <c r="G60" s="6" t="str">
        <f>CLEAN("SUGAR RIVER BRIDGE B-23-0028")</f>
        <v>SUGAR RIVER BRIDGE B-23-0028</v>
      </c>
      <c r="H60" s="6" t="str">
        <f>CLEAN("CONST OPS/RECONSTRUCT W BRRPL")</f>
        <v>CONST OPS/RECONSTRUCT W BRRPL</v>
      </c>
      <c r="I60" s="6" t="str">
        <f>CLEAN("CTH-C")</f>
        <v>CTH-C</v>
      </c>
      <c r="J60" s="6">
        <v>0.1</v>
      </c>
    </row>
    <row r="61" spans="1:10" x14ac:dyDescent="0.25">
      <c r="A61" s="6" t="str">
        <f>CLEAN("GREEN")</f>
        <v>GREEN</v>
      </c>
      <c r="B61" s="7" t="str">
        <f>CLEAN("5646-00-06")</f>
        <v>5646-00-06</v>
      </c>
      <c r="C61" s="7" t="str">
        <f>CLEAN("5646-00-76")</f>
        <v>5646-00-76</v>
      </c>
      <c r="D61" s="7">
        <v>2021</v>
      </c>
      <c r="E61" s="8">
        <v>44264</v>
      </c>
      <c r="F61" s="6" t="str">
        <f>CLEAN("TOWN OF ADAMS  PRAIRIE VIEW RD")</f>
        <v>TOWN OF ADAMS  PRAIRIE VIEW RD</v>
      </c>
      <c r="G61" s="6" t="str">
        <f>CLEAN("DOUGHERTY CREEK BRIDGE  B-23-0180")</f>
        <v>DOUGHERTY CREEK BRIDGE  B-23-0180</v>
      </c>
      <c r="H61" s="6" t="str">
        <f>CLEAN("CONST OPS/BRIDGE REPLACEMENT")</f>
        <v>CONST OPS/BRIDGE REPLACEMENT</v>
      </c>
      <c r="I61" s="6" t="str">
        <f>CLEAN("LOC-STR")</f>
        <v>LOC-STR</v>
      </c>
      <c r="J61" s="6">
        <v>2.5999999999999999E-2</v>
      </c>
    </row>
    <row r="62" spans="1:10" x14ac:dyDescent="0.25">
      <c r="A62" s="6" t="str">
        <f>CLEAN("GREEN")</f>
        <v>GREEN</v>
      </c>
      <c r="B62" s="7" t="str">
        <f>CLEAN("5962-00-00")</f>
        <v>5962-00-00</v>
      </c>
      <c r="C62" s="7" t="str">
        <f>CLEAN("5962-00-70")</f>
        <v>5962-00-70</v>
      </c>
      <c r="D62" s="7">
        <v>2021</v>
      </c>
      <c r="E62" s="8">
        <v>44264</v>
      </c>
      <c r="F62" s="6" t="str">
        <f>CLEAN("CTH M - STH 81")</f>
        <v>CTH M - STH 81</v>
      </c>
      <c r="G62" s="6" t="str">
        <f>CLEAN("JORDEN CREEK BRIDGE  B-23-0179")</f>
        <v>JORDEN CREEK BRIDGE  B-23-0179</v>
      </c>
      <c r="H62" s="6" t="str">
        <f>CLEAN("CONST OPS/BRIDGE REPLACEMENT")</f>
        <v>CONST OPS/BRIDGE REPLACEMENT</v>
      </c>
      <c r="I62" s="6" t="str">
        <f>CLEAN("CTH-Y")</f>
        <v>CTH-Y</v>
      </c>
      <c r="J62" s="6">
        <v>2.4E-2</v>
      </c>
    </row>
    <row r="63" spans="1:10" x14ac:dyDescent="0.25">
      <c r="A63" s="6"/>
      <c r="B63" s="7"/>
      <c r="C63" s="7"/>
      <c r="D63" s="7"/>
      <c r="E63" s="8"/>
      <c r="F63" s="6"/>
      <c r="G63" s="6"/>
      <c r="H63" s="6"/>
      <c r="I63" s="6"/>
      <c r="J63" s="6"/>
    </row>
    <row r="64" spans="1:10" x14ac:dyDescent="0.25">
      <c r="A64" s="6" t="str">
        <f>CLEAN("IOWA")</f>
        <v>IOWA</v>
      </c>
      <c r="B64" s="7" t="str">
        <f>CLEAN("5688-00-05")</f>
        <v>5688-00-05</v>
      </c>
      <c r="C64" s="7" t="str">
        <f>CLEAN("5688-00-75")</f>
        <v>5688-00-75</v>
      </c>
      <c r="D64" s="7">
        <v>2020</v>
      </c>
      <c r="E64" s="8">
        <v>43781</v>
      </c>
      <c r="F64" s="6" t="str">
        <f>CLEAN("CTH K - CTH H")</f>
        <v>CTH K - CTH H</v>
      </c>
      <c r="G64" s="6" t="str">
        <f>CLEAN("WHITE HOLLOW CR BRIDGE B-25-0178")</f>
        <v>WHITE HOLLOW CR BRIDGE B-25-0178</v>
      </c>
      <c r="H64" s="6" t="str">
        <f>CLEAN("CONST OPS/BRIDGE REPLACEMENT")</f>
        <v>CONST OPS/BRIDGE REPLACEMENT</v>
      </c>
      <c r="I64" s="6" t="str">
        <f>CLEAN("CTH-HH")</f>
        <v>CTH-HH</v>
      </c>
      <c r="J64" s="6">
        <v>4.7E-2</v>
      </c>
    </row>
    <row r="65" spans="1:10" x14ac:dyDescent="0.25">
      <c r="A65" s="6" t="str">
        <f>CLEAN("IOWA")</f>
        <v>IOWA</v>
      </c>
      <c r="B65" s="7" t="str">
        <f>CLEAN("5699-00-02")</f>
        <v>5699-00-02</v>
      </c>
      <c r="C65" s="7" t="str">
        <f>CLEAN("5699-00-76")</f>
        <v>5699-00-76</v>
      </c>
      <c r="D65" s="7">
        <v>2020</v>
      </c>
      <c r="E65" s="8">
        <v>43781</v>
      </c>
      <c r="F65" s="6" t="str">
        <f>CLEAN("T DODGEVILLE  SURVEY ROAD")</f>
        <v>T DODGEVILLE  SURVEY ROAD</v>
      </c>
      <c r="G65" s="6" t="str">
        <f>CLEAN("BR MINERAL POINT CRK B-25-0187")</f>
        <v>BR MINERAL POINT CRK B-25-0187</v>
      </c>
      <c r="H65" s="6" t="str">
        <f>CLEAN("CONST OPS/BRIDGE REPLACEMENT")</f>
        <v>CONST OPS/BRIDGE REPLACEMENT</v>
      </c>
      <c r="I65" s="6" t="str">
        <f>CLEAN("LOC-STR")</f>
        <v>LOC-STR</v>
      </c>
      <c r="J65" s="6">
        <v>7.8E-2</v>
      </c>
    </row>
    <row r="66" spans="1:10" x14ac:dyDescent="0.25">
      <c r="A66" s="6" t="str">
        <f>CLEAN("IOWA")</f>
        <v>IOWA</v>
      </c>
      <c r="B66" s="7" t="str">
        <f>CLEAN("5921-00-04")</f>
        <v>5921-00-04</v>
      </c>
      <c r="C66" s="7" t="str">
        <f>CLEAN("5921-00-74")</f>
        <v>5921-00-74</v>
      </c>
      <c r="D66" s="7">
        <v>2020</v>
      </c>
      <c r="E66" s="8">
        <v>43781</v>
      </c>
      <c r="F66" s="6" t="str">
        <f>CLEAN("USH 151 - STH 191")</f>
        <v>USH 151 - STH 191</v>
      </c>
      <c r="G66" s="6" t="str">
        <f>CLEAN("DODGE BRANCH BRIDGE B-25-0179")</f>
        <v>DODGE BRANCH BRIDGE B-25-0179</v>
      </c>
      <c r="H66" s="6" t="str">
        <f>CLEAN("CONST OPS/BRIDGE REPLACEMENT")</f>
        <v>CONST OPS/BRIDGE REPLACEMENT</v>
      </c>
      <c r="I66" s="6" t="str">
        <f>CLEAN("CTH-Y")</f>
        <v>CTH-Y</v>
      </c>
      <c r="J66" s="6">
        <v>5.5E-2</v>
      </c>
    </row>
    <row r="67" spans="1:10" x14ac:dyDescent="0.25">
      <c r="A67" s="6" t="str">
        <f>CLEAN("IOWA")</f>
        <v>IOWA</v>
      </c>
      <c r="B67" s="7" t="str">
        <f>CLEAN("5579-00-03")</f>
        <v>5579-00-03</v>
      </c>
      <c r="C67" s="7" t="str">
        <f>CLEAN("5579-00-73")</f>
        <v>5579-00-73</v>
      </c>
      <c r="D67" s="7">
        <v>2021</v>
      </c>
      <c r="E67" s="8">
        <v>44145</v>
      </c>
      <c r="F67" s="6" t="str">
        <f>CLEAN("CTH T - CTH T")</f>
        <v>CTH T - CTH T</v>
      </c>
      <c r="G67" s="6" t="str">
        <f>CLEAN("MILL CREEK BRIDGE B-25-0186")</f>
        <v>MILL CREEK BRIDGE B-25-0186</v>
      </c>
      <c r="H67" s="6" t="str">
        <f>CLEAN("CONST OPS/BRIDGE REPLACEMENT")</f>
        <v>CONST OPS/BRIDGE REPLACEMENT</v>
      </c>
      <c r="I67" s="6" t="str">
        <f>CLEAN("CTH-H")</f>
        <v>CTH-H</v>
      </c>
      <c r="J67" s="6">
        <v>9.8000000000000004E-2</v>
      </c>
    </row>
    <row r="68" spans="1:10" x14ac:dyDescent="0.25">
      <c r="A68" s="6" t="str">
        <f>CLEAN("IOWA")</f>
        <v>IOWA</v>
      </c>
      <c r="B68" s="7" t="str">
        <f>CLEAN("5682-00-05")</f>
        <v>5682-00-05</v>
      </c>
      <c r="C68" s="7" t="str">
        <f>CLEAN("5682-00-75")</f>
        <v>5682-00-75</v>
      </c>
      <c r="D68" s="7">
        <v>2022</v>
      </c>
      <c r="E68" s="8">
        <v>44544</v>
      </c>
      <c r="F68" s="6" t="str">
        <f>CLEAN("CTH Q - CTH I")</f>
        <v>CTH Q - CTH I</v>
      </c>
      <c r="G68" s="6" t="str">
        <f>CLEAN("OTTER CREEK BRIDGE  B-25-0191")</f>
        <v>OTTER CREEK BRIDGE  B-25-0191</v>
      </c>
      <c r="H68" s="6" t="str">
        <f>CLEAN("CONST OPS/BRIDGE REPLACEMENT")</f>
        <v>CONST OPS/BRIDGE REPLACEMENT</v>
      </c>
      <c r="I68" s="6" t="str">
        <f>CLEAN("CTH-II")</f>
        <v>CTH-II</v>
      </c>
      <c r="J68" s="6">
        <v>3.3000000000000002E-2</v>
      </c>
    </row>
    <row r="69" spans="1:10" x14ac:dyDescent="0.25">
      <c r="A69" s="6"/>
      <c r="B69" s="7"/>
      <c r="C69" s="7"/>
      <c r="D69" s="7"/>
      <c r="E69" s="8"/>
      <c r="F69" s="6"/>
      <c r="G69" s="6"/>
      <c r="H69" s="6"/>
      <c r="I69" s="6"/>
      <c r="J69" s="6"/>
    </row>
    <row r="70" spans="1:10" x14ac:dyDescent="0.25">
      <c r="A70" s="6" t="str">
        <f>CLEAN("JEFFERSON")</f>
        <v>JEFFERSON</v>
      </c>
      <c r="B70" s="7" t="str">
        <f>CLEAN("3636-00-02")</f>
        <v>3636-00-02</v>
      </c>
      <c r="C70" s="7" t="str">
        <f>CLEAN("3636-00-72")</f>
        <v>3636-00-72</v>
      </c>
      <c r="D70" s="7">
        <v>2021</v>
      </c>
      <c r="E70" s="8">
        <v>44208</v>
      </c>
      <c r="F70" s="6" t="str">
        <f>CLEAN("TOWN OF JEFFERSON  WILL RD")</f>
        <v>TOWN OF JEFFERSON  WILL RD</v>
      </c>
      <c r="G70" s="6" t="str">
        <f>CLEAN("DEER CREEK BRIDGE  B-28-0194")</f>
        <v>DEER CREEK BRIDGE  B-28-0194</v>
      </c>
      <c r="H70" s="6" t="str">
        <f>CLEAN("CONST OPS/BRIDGE REPLACEMENT")</f>
        <v>CONST OPS/BRIDGE REPLACEMENT</v>
      </c>
      <c r="I70" s="6" t="str">
        <f>CLEAN("LOC-STR")</f>
        <v>LOC-STR</v>
      </c>
      <c r="J70" s="6">
        <v>2.1999999999999999E-2</v>
      </c>
    </row>
    <row r="71" spans="1:10" x14ac:dyDescent="0.25">
      <c r="A71" s="6" t="str">
        <f>CLEAN("JEFFERSON")</f>
        <v>JEFFERSON</v>
      </c>
      <c r="B71" s="7" t="s">
        <v>24</v>
      </c>
      <c r="C71" s="7" t="s">
        <v>25</v>
      </c>
      <c r="D71" s="7">
        <v>2022</v>
      </c>
      <c r="E71" s="8">
        <v>44544</v>
      </c>
      <c r="F71" s="6" t="s">
        <v>26</v>
      </c>
      <c r="G71" s="6" t="s">
        <v>27</v>
      </c>
      <c r="H71" s="6" t="s">
        <v>28</v>
      </c>
      <c r="I71" s="6" t="s">
        <v>29</v>
      </c>
      <c r="J71" s="6">
        <v>4.7</v>
      </c>
    </row>
    <row r="72" spans="1:10" x14ac:dyDescent="0.25">
      <c r="A72" s="6"/>
      <c r="B72" s="7"/>
      <c r="C72" s="7"/>
      <c r="D72" s="7"/>
      <c r="E72" s="8"/>
      <c r="F72" s="6"/>
      <c r="G72" s="6"/>
      <c r="H72" s="6"/>
      <c r="I72" s="6"/>
      <c r="J72" s="6"/>
    </row>
    <row r="73" spans="1:10" x14ac:dyDescent="0.25">
      <c r="A73" s="6" t="str">
        <f>CLEAN("JUNEAU")</f>
        <v>JUNEAU</v>
      </c>
      <c r="B73" s="7" t="str">
        <f>CLEAN("5817-00-01")</f>
        <v>5817-00-01</v>
      </c>
      <c r="C73" s="7" t="str">
        <f>CLEAN("5817-00-71")</f>
        <v>5817-00-71</v>
      </c>
      <c r="D73" s="7">
        <v>2021</v>
      </c>
      <c r="E73" s="8">
        <v>44173</v>
      </c>
      <c r="F73" s="6" t="str">
        <f>CLEAN("CTH S - CTH A")</f>
        <v>CTH S - CTH A</v>
      </c>
      <c r="G73" s="6" t="str">
        <f>CLEAN("LITTLE LEMONWEIR BRIDGE  B-29-0158")</f>
        <v>LITTLE LEMONWEIR BRIDGE  B-29-0158</v>
      </c>
      <c r="H73" s="6" t="str">
        <f>CLEAN("CONST OPS/BRIDGE REPLACEMENT")</f>
        <v>CONST OPS/BRIDGE REPLACEMENT</v>
      </c>
      <c r="I73" s="6" t="str">
        <f>CLEAN("CTH-H")</f>
        <v>CTH-H</v>
      </c>
      <c r="J73" s="6">
        <v>3.4000000000000002E-2</v>
      </c>
    </row>
    <row r="74" spans="1:10" x14ac:dyDescent="0.25">
      <c r="A74" s="6" t="str">
        <f>CLEAN("JUNEAU")</f>
        <v>JUNEAU</v>
      </c>
      <c r="B74" s="7" t="str">
        <f>CLEAN("5808-00-01")</f>
        <v>5808-00-01</v>
      </c>
      <c r="C74" s="7" t="str">
        <f>CLEAN("5808-00-73")</f>
        <v>5808-00-73</v>
      </c>
      <c r="D74" s="7">
        <v>2022</v>
      </c>
      <c r="E74" s="8">
        <v>44418</v>
      </c>
      <c r="F74" s="6" t="str">
        <f>CLEAN("REEDSBURG - LYNDON STATION")</f>
        <v>REEDSBURG - LYNDON STATION</v>
      </c>
      <c r="G74" s="6" t="str">
        <f>CLEAN("SAUK COUNTY LINE TO CTH J")</f>
        <v>SAUK COUNTY LINE TO CTH J</v>
      </c>
      <c r="H74" s="6" t="str">
        <f>CLEAN("CONST OPS/RECONDITIONING")</f>
        <v>CONST OPS/RECONDITIONING</v>
      </c>
      <c r="I74" s="6" t="str">
        <f>CLEAN("CTH-HH")</f>
        <v>CTH-HH</v>
      </c>
      <c r="J74" s="6">
        <v>3.1</v>
      </c>
    </row>
    <row r="75" spans="1:10" x14ac:dyDescent="0.25">
      <c r="A75" s="6" t="str">
        <f>CLEAN("JUNEAU")</f>
        <v>JUNEAU</v>
      </c>
      <c r="B75" s="7" t="str">
        <f>CLEAN("5808-00-02")</f>
        <v>5808-00-02</v>
      </c>
      <c r="C75" s="7" t="str">
        <f>CLEAN("5808-00-72")</f>
        <v>5808-00-72</v>
      </c>
      <c r="D75" s="7">
        <v>2022</v>
      </c>
      <c r="E75" s="8">
        <v>44628</v>
      </c>
      <c r="F75" s="6" t="str">
        <f>CLEAN("SOUTH COUNTY LINE - STH 82")</f>
        <v>SOUTH COUNTY LINE - STH 82</v>
      </c>
      <c r="G75" s="6" t="str">
        <f>CLEAN("CTH J TO EAST JUNCTION STH 82")</f>
        <v>CTH J TO EAST JUNCTION STH 82</v>
      </c>
      <c r="H75" s="6" t="str">
        <f>CLEAN("CONST/SIGNING/MARKING IMPROVEMENTS")</f>
        <v>CONST/SIGNING/MARKING IMPROVEMENTS</v>
      </c>
      <c r="I75" s="6" t="str">
        <f>CLEAN("CTH-HH")</f>
        <v>CTH-HH</v>
      </c>
      <c r="J75" s="6">
        <v>8.0839999999999996</v>
      </c>
    </row>
    <row r="76" spans="1:10" x14ac:dyDescent="0.25">
      <c r="A76" s="6"/>
      <c r="B76" s="7"/>
      <c r="C76" s="7"/>
      <c r="D76" s="7"/>
      <c r="E76" s="8"/>
      <c r="F76" s="6"/>
      <c r="G76" s="6"/>
      <c r="H76" s="6"/>
      <c r="I76" s="6"/>
      <c r="J76" s="6"/>
    </row>
    <row r="77" spans="1:10" x14ac:dyDescent="0.25">
      <c r="A77" s="6" t="str">
        <f>CLEAN("LA CROSSE")</f>
        <v>LA CROSSE</v>
      </c>
      <c r="B77" s="7" t="str">
        <f>CLEAN("5085-00-00")</f>
        <v>5085-00-00</v>
      </c>
      <c r="C77" s="7" t="str">
        <f>CLEAN("5085-00-70")</f>
        <v>5085-00-70</v>
      </c>
      <c r="D77" s="7">
        <v>2020</v>
      </c>
      <c r="E77" s="8">
        <v>43781</v>
      </c>
      <c r="F77" s="6" t="str">
        <f>CLEAN("SHELBY - GREENFIELD")</f>
        <v>SHELBY - GREENFIELD</v>
      </c>
      <c r="G77" s="6" t="str">
        <f>CLEAN("CTH GI TO STH 35")</f>
        <v>CTH GI TO STH 35</v>
      </c>
      <c r="H77" s="6" t="str">
        <f>CLEAN("CONST/PVRPLA/FEDERAL LANDS PROGRAM")</f>
        <v>CONST/PVRPLA/FEDERAL LANDS PROGRAM</v>
      </c>
      <c r="I77" s="6" t="str">
        <f>CLEAN("CTH-GI")</f>
        <v>CTH-GI</v>
      </c>
      <c r="J77" s="6">
        <v>4.4349999999999996</v>
      </c>
    </row>
    <row r="78" spans="1:10" x14ac:dyDescent="0.25">
      <c r="A78" s="6" t="str">
        <f>CLEAN("LA CROSSE")</f>
        <v>LA CROSSE</v>
      </c>
      <c r="B78" s="7" t="str">
        <f>CLEAN("5503-00-00")</f>
        <v>5503-00-00</v>
      </c>
      <c r="C78" s="7" t="str">
        <f>CLEAN("5503-00-70")</f>
        <v>5503-00-70</v>
      </c>
      <c r="D78" s="7">
        <v>2020</v>
      </c>
      <c r="E78" s="8">
        <v>43809</v>
      </c>
      <c r="F78" s="6" t="str">
        <f>CLEAN("WASHINGTON - PORTLAND")</f>
        <v>WASHINGTON - PORTLAND</v>
      </c>
      <c r="G78" s="6" t="str">
        <f>CLEAN("BERGE COULEE CREEK BRIDGE B-32-0238")</f>
        <v>BERGE COULEE CREEK BRIDGE B-32-0238</v>
      </c>
      <c r="H78" s="6" t="str">
        <f>CLEAN("CONST OPS/BRIDGE REPLACEMENT")</f>
        <v>CONST OPS/BRIDGE REPLACEMENT</v>
      </c>
      <c r="I78" s="6" t="str">
        <f>CLEAN("CTH-X")</f>
        <v>CTH-X</v>
      </c>
      <c r="J78" s="6">
        <v>9.5000000000000001E-2</v>
      </c>
    </row>
    <row r="79" spans="1:10" x14ac:dyDescent="0.25">
      <c r="A79" s="6" t="str">
        <f>CLEAN("LA CROSSE")</f>
        <v>LA CROSSE</v>
      </c>
      <c r="B79" s="7" t="str">
        <f>CLEAN("7345-00-00")</f>
        <v>7345-00-00</v>
      </c>
      <c r="C79" s="7" t="str">
        <f>CLEAN("7345-00-70")</f>
        <v>7345-00-70</v>
      </c>
      <c r="D79" s="7">
        <v>2020</v>
      </c>
      <c r="E79" s="8">
        <v>43809</v>
      </c>
      <c r="F79" s="6" t="str">
        <f>CLEAN("CTH D - CTH TT")</f>
        <v>CTH D - CTH TT</v>
      </c>
      <c r="G79" s="6" t="str">
        <f>CLEAN("LONG COULEE CREEK BRIDGE  B-32-0237")</f>
        <v>LONG COULEE CREEK BRIDGE  B-32-0237</v>
      </c>
      <c r="H79" s="6" t="str">
        <f>CLEAN("CONST OPS/BRIDGE REPLACEMENT")</f>
        <v>CONST OPS/BRIDGE REPLACEMENT</v>
      </c>
      <c r="I79" s="6" t="str">
        <f>CLEAN("CTH-V")</f>
        <v>CTH-V</v>
      </c>
      <c r="J79" s="6">
        <v>6.6000000000000003E-2</v>
      </c>
    </row>
    <row r="80" spans="1:10" x14ac:dyDescent="0.25">
      <c r="A80" s="6" t="str">
        <f>CLEAN("LA CROSSE")</f>
        <v>LA CROSSE</v>
      </c>
      <c r="B80" s="7" t="str">
        <f>CLEAN("5991-07-42")</f>
        <v>5991-07-42</v>
      </c>
      <c r="C80" s="7" t="str">
        <f>CLEAN("5991-07-43")</f>
        <v>5991-07-43</v>
      </c>
      <c r="D80" s="7">
        <v>2021</v>
      </c>
      <c r="E80" s="8">
        <v>44145</v>
      </c>
      <c r="F80" s="6" t="str">
        <f>CLEAN("C OF LA CROSSE  GILLETTE STREET")</f>
        <v>C OF LA CROSSE  GILLETTE STREET</v>
      </c>
      <c r="G80" s="6" t="str">
        <f>CLEAN("CALEDONIA ST TO GEORGE ST (STH35)")</f>
        <v>CALEDONIA ST TO GEORGE ST (STH35)</v>
      </c>
      <c r="H80" s="6" t="str">
        <f>CLEAN("CONST OPS/RECONSTRUCT")</f>
        <v>CONST OPS/RECONSTRUCT</v>
      </c>
      <c r="I80" s="6" t="str">
        <f>CLEAN("LOC-STR")</f>
        <v>LOC-STR</v>
      </c>
      <c r="J80" s="6">
        <v>0.36</v>
      </c>
    </row>
    <row r="81" spans="1:10" x14ac:dyDescent="0.25">
      <c r="A81" s="6" t="str">
        <f>CLEAN("LA CROSSE")</f>
        <v>LA CROSSE</v>
      </c>
      <c r="B81" s="7" t="str">
        <f>CLEAN("5991-07-36")</f>
        <v>5991-07-36</v>
      </c>
      <c r="C81" s="7" t="str">
        <f>CLEAN("5991-07-37")</f>
        <v>5991-07-37</v>
      </c>
      <c r="D81" s="7">
        <v>2022</v>
      </c>
      <c r="E81" s="8">
        <v>44418</v>
      </c>
      <c r="F81" s="6" t="str">
        <f>CLEAN("C OF LA CROSSE  GREEN BAY STREET")</f>
        <v>C OF LA CROSSE  GREEN BAY STREET</v>
      </c>
      <c r="G81" s="6" t="str">
        <f>CLEAN("EAST AVENUE TO S 22ND STREET")</f>
        <v>EAST AVENUE TO S 22ND STREET</v>
      </c>
      <c r="H81" s="6" t="str">
        <f>CLEAN("CONST OPS/PAVEMENT REPLACEMENT")</f>
        <v>CONST OPS/PAVEMENT REPLACEMENT</v>
      </c>
      <c r="I81" s="6" t="str">
        <f>CLEAN("LOC-STR")</f>
        <v>LOC-STR</v>
      </c>
      <c r="J81" s="6">
        <v>0.38</v>
      </c>
    </row>
    <row r="82" spans="1:10" x14ac:dyDescent="0.25">
      <c r="A82" s="6"/>
      <c r="B82" s="7"/>
      <c r="C82" s="7"/>
      <c r="D82" s="7"/>
      <c r="E82" s="8"/>
      <c r="F82" s="6"/>
      <c r="G82" s="6"/>
      <c r="H82" s="6"/>
      <c r="I82" s="6"/>
      <c r="J82" s="6"/>
    </row>
    <row r="83" spans="1:10" x14ac:dyDescent="0.25">
      <c r="A83" s="6" t="str">
        <f>CLEAN("LAFAYETTE")</f>
        <v>LAFAYETTE</v>
      </c>
      <c r="B83" s="7" t="str">
        <f>CLEAN("5725-00-02")</f>
        <v>5725-00-02</v>
      </c>
      <c r="C83" s="7" t="str">
        <f>CLEAN("5725-00-72")</f>
        <v>5725-00-72</v>
      </c>
      <c r="D83" s="7">
        <v>2022</v>
      </c>
      <c r="E83" s="8">
        <v>44544</v>
      </c>
      <c r="F83" s="6" t="str">
        <f>CLEAN("STH 11 - CTH N")</f>
        <v>STH 11 - CTH N</v>
      </c>
      <c r="G83" s="6" t="str">
        <f>CLEAN("PECATONICA RIVER BRIDGE  B-33-0138")</f>
        <v>PECATONICA RIVER BRIDGE  B-33-0138</v>
      </c>
      <c r="H83" s="6" t="str">
        <f>CLEAN("CONST OPS/BRIDGE REPLACEMENT")</f>
        <v>CONST OPS/BRIDGE REPLACEMENT</v>
      </c>
      <c r="I83" s="6" t="str">
        <f>CLEAN("CTH-D")</f>
        <v>CTH-D</v>
      </c>
      <c r="J83" s="6">
        <v>4.2000000000000003E-2</v>
      </c>
    </row>
    <row r="84" spans="1:10" x14ac:dyDescent="0.25">
      <c r="A84" s="6"/>
      <c r="B84" s="7"/>
      <c r="C84" s="7"/>
      <c r="D84" s="7"/>
      <c r="E84" s="8"/>
      <c r="F84" s="6"/>
      <c r="G84" s="6"/>
      <c r="H84" s="6"/>
      <c r="I84" s="6"/>
      <c r="J84" s="6"/>
    </row>
    <row r="85" spans="1:10" x14ac:dyDescent="0.25">
      <c r="A85" s="6" t="str">
        <f>CLEAN("MONROE")</f>
        <v>MONROE</v>
      </c>
      <c r="B85" s="7" t="str">
        <f>CLEAN("5026-00-00")</f>
        <v>5026-00-00</v>
      </c>
      <c r="C85" s="7" t="str">
        <f>CLEAN("5026-00-70")</f>
        <v>5026-00-70</v>
      </c>
      <c r="D85" s="7">
        <v>2020</v>
      </c>
      <c r="E85" s="8">
        <v>43809</v>
      </c>
      <c r="F85" s="6" t="str">
        <f>CLEAN("T WELLINGTON  ORLANDO AVENUE")</f>
        <v>T WELLINGTON  ORLANDO AVENUE</v>
      </c>
      <c r="G85" s="6" t="str">
        <f>CLEAN("BILLINGS CREEK BRIDGE B-41-0309")</f>
        <v>BILLINGS CREEK BRIDGE B-41-0309</v>
      </c>
      <c r="H85" s="6" t="str">
        <f>CLEAN("CONST OPS/BRIDGE REPLACEMENT")</f>
        <v>CONST OPS/BRIDGE REPLACEMENT</v>
      </c>
      <c r="I85" s="6" t="str">
        <f>CLEAN("LOC-STR")</f>
        <v>LOC-STR</v>
      </c>
      <c r="J85" s="6">
        <v>3.4000000000000002E-2</v>
      </c>
    </row>
    <row r="86" spans="1:10" x14ac:dyDescent="0.25">
      <c r="A86" s="6" t="str">
        <f>CLEAN("MONROE")</f>
        <v>MONROE</v>
      </c>
      <c r="B86" s="7" t="str">
        <f>CLEAN("7373-00-00")</f>
        <v>7373-00-00</v>
      </c>
      <c r="C86" s="7" t="str">
        <f>CLEAN("7373-00-70")</f>
        <v>7373-00-70</v>
      </c>
      <c r="D86" s="7">
        <v>2021</v>
      </c>
      <c r="E86" s="8">
        <v>44264</v>
      </c>
      <c r="F86" s="6" t="str">
        <f>CLEAN("T OF TOMAH - T OF LA GRANGE")</f>
        <v>T OF TOMAH - T OF LA GRANGE</v>
      </c>
      <c r="G86" s="6" t="str">
        <f>CLEAN("C OF TOMAH TO STH 21")</f>
        <v>C OF TOMAH TO STH 21</v>
      </c>
      <c r="H86" s="6" t="str">
        <f>CLEAN("CONST OPS/RECONSTRUCT")</f>
        <v>CONST OPS/RECONSTRUCT</v>
      </c>
      <c r="I86" s="6" t="str">
        <f>CLEAN("CTH-ET")</f>
        <v>CTH-ET</v>
      </c>
      <c r="J86" s="6">
        <v>2.06</v>
      </c>
    </row>
    <row r="87" spans="1:10" x14ac:dyDescent="0.25">
      <c r="A87" s="6" t="str">
        <f>CLEAN("MONROE")</f>
        <v>MONROE</v>
      </c>
      <c r="B87" s="7" t="str">
        <f>CLEAN("7117-00-30")</f>
        <v>7117-00-30</v>
      </c>
      <c r="C87" s="7" t="str">
        <f>CLEAN("7117-00-60")</f>
        <v>7117-00-60</v>
      </c>
      <c r="D87" s="7">
        <v>2021</v>
      </c>
      <c r="E87" s="8">
        <v>44327</v>
      </c>
      <c r="F87" s="6" t="str">
        <f>CLEAN("OAKDALE - WYEVILLE")</f>
        <v>OAKDALE - WYEVILLE</v>
      </c>
      <c r="G87" s="6" t="str">
        <f>CLEAN("NORTH VILLAGE LIMIT TO STH 21")</f>
        <v>NORTH VILLAGE LIMIT TO STH 21</v>
      </c>
      <c r="H87" s="6" t="str">
        <f>CLEAN("CONST/SIGNING/MARKING/CZ IMPRVMNTS")</f>
        <v>CONST/SIGNING/MARKING/CZ IMPRVMNTS</v>
      </c>
      <c r="I87" s="6" t="str">
        <f>CLEAN("CTH-PP")</f>
        <v>CTH-PP</v>
      </c>
      <c r="J87" s="6">
        <v>4.6479999999999997</v>
      </c>
    </row>
    <row r="88" spans="1:10" x14ac:dyDescent="0.25">
      <c r="A88" s="6" t="str">
        <f>CLEAN("MONROE")</f>
        <v>MONROE</v>
      </c>
      <c r="B88" s="7" t="str">
        <f>CLEAN("7117-00-01")</f>
        <v>7117-00-01</v>
      </c>
      <c r="C88" s="7" t="str">
        <f>CLEAN("7117-00-71")</f>
        <v>7117-00-71</v>
      </c>
      <c r="D88" s="7">
        <v>2022</v>
      </c>
      <c r="E88" s="8">
        <v>44418</v>
      </c>
      <c r="F88" s="6" t="str">
        <f>CLEAN("VILLAGE OF OAKDALE  CTH PP")</f>
        <v>VILLAGE OF OAKDALE  CTH PP</v>
      </c>
      <c r="G88" s="6" t="str">
        <f>CLEAN("IH 90/94 TO US 12/16")</f>
        <v>IH 90/94 TO US 12/16</v>
      </c>
      <c r="H88" s="6" t="str">
        <f>CLEAN("CONST OPS/RECONSTRUCT")</f>
        <v>CONST OPS/RECONSTRUCT</v>
      </c>
      <c r="I88" s="6" t="str">
        <f>CLEAN("CTH-PP")</f>
        <v>CTH-PP</v>
      </c>
      <c r="J88" s="6">
        <v>0.28999999999999998</v>
      </c>
    </row>
    <row r="89" spans="1:10" x14ac:dyDescent="0.25">
      <c r="A89" s="6"/>
      <c r="B89" s="7"/>
      <c r="C89" s="7"/>
      <c r="D89" s="7"/>
      <c r="E89" s="8"/>
      <c r="F89" s="6"/>
      <c r="G89" s="6"/>
      <c r="H89" s="6"/>
      <c r="I89" s="6"/>
      <c r="J89" s="6"/>
    </row>
    <row r="90" spans="1:10" x14ac:dyDescent="0.25">
      <c r="A90" s="6" t="str">
        <f>CLEAN("RICHLAND")</f>
        <v>RICHLAND</v>
      </c>
      <c r="B90" s="7" t="str">
        <f>CLEAN("5056-00-01")</f>
        <v>5056-00-01</v>
      </c>
      <c r="C90" s="7" t="str">
        <f>CLEAN("5056-00-71")</f>
        <v>5056-00-71</v>
      </c>
      <c r="D90" s="7">
        <v>2021</v>
      </c>
      <c r="E90" s="8">
        <v>44173</v>
      </c>
      <c r="F90" s="6" t="str">
        <f>CLEAN("TOWN OF ITHACA  MCAVOY HILL RD")</f>
        <v>TOWN OF ITHACA  MCAVOY HILL RD</v>
      </c>
      <c r="G90" s="6" t="str">
        <f>CLEAN("LITTLE WILLOW CREEK BRIDGE B52-0278")</f>
        <v>LITTLE WILLOW CREEK BRIDGE B52-0278</v>
      </c>
      <c r="H90" s="6" t="str">
        <f>CLEAN("CONST OPS/BRIDGE REPLACEMENT")</f>
        <v>CONST OPS/BRIDGE REPLACEMENT</v>
      </c>
      <c r="I90" s="6" t="str">
        <f>CLEAN("LOC-STR")</f>
        <v>LOC-STR</v>
      </c>
      <c r="J90" s="6">
        <v>2.1999999999999999E-2</v>
      </c>
    </row>
    <row r="91" spans="1:10" x14ac:dyDescent="0.25">
      <c r="A91" s="6" t="str">
        <f>CLEAN("RICHLAND")</f>
        <v>RICHLAND</v>
      </c>
      <c r="B91" s="7" t="str">
        <f>CLEAN("5519-00-00")</f>
        <v>5519-00-00</v>
      </c>
      <c r="C91" s="7" t="str">
        <f>CLEAN("5519-00-70")</f>
        <v>5519-00-70</v>
      </c>
      <c r="D91" s="7">
        <v>2021</v>
      </c>
      <c r="E91" s="8">
        <v>44173</v>
      </c>
      <c r="F91" s="6" t="str">
        <f>CLEAN("CTH BB - STH 130")</f>
        <v>CTH BB - STH 130</v>
      </c>
      <c r="G91" s="6" t="str">
        <f>CLEAN("BRANCH BEAR CREEK BRIDGE  B-52-0277")</f>
        <v>BRANCH BEAR CREEK BRIDGE  B-52-0277</v>
      </c>
      <c r="H91" s="6" t="str">
        <f>CLEAN("CONST OPS/BRIDGE REPLACEMENT")</f>
        <v>CONST OPS/BRIDGE REPLACEMENT</v>
      </c>
      <c r="I91" s="6" t="str">
        <f>CLEAN("CTH-B")</f>
        <v>CTH-B</v>
      </c>
      <c r="J91" s="6">
        <v>0.03</v>
      </c>
    </row>
    <row r="92" spans="1:10" x14ac:dyDescent="0.25">
      <c r="A92" s="6"/>
      <c r="B92" s="7"/>
      <c r="C92" s="7"/>
      <c r="D92" s="7"/>
      <c r="E92" s="8"/>
      <c r="F92" s="6"/>
      <c r="G92" s="6"/>
      <c r="H92" s="6"/>
      <c r="I92" s="6"/>
      <c r="J92" s="6"/>
    </row>
    <row r="93" spans="1:10" x14ac:dyDescent="0.25">
      <c r="A93" s="6" t="str">
        <f t="shared" ref="A93:A108" si="4">CLEAN("ROCK")</f>
        <v>ROCK</v>
      </c>
      <c r="B93" s="7" t="str">
        <f>CLEAN("5758-00-02")</f>
        <v>5758-00-02</v>
      </c>
      <c r="C93" s="7" t="str">
        <f>CLEAN("5758-00-72")</f>
        <v>5758-00-72</v>
      </c>
      <c r="D93" s="7">
        <v>2020</v>
      </c>
      <c r="E93" s="8">
        <v>43781</v>
      </c>
      <c r="F93" s="6" t="str">
        <f>CLEAN("T JANESVILLE  MINERAL POINT ROAD")</f>
        <v>T JANESVILLE  MINERAL POINT ROAD</v>
      </c>
      <c r="G93" s="6" t="str">
        <f>CLEAN("FISHER CREEK BRIDGE B-53-0384")</f>
        <v>FISHER CREEK BRIDGE B-53-0384</v>
      </c>
      <c r="H93" s="6" t="str">
        <f>CLEAN("CONST OPS/BRIDGE REPLACEMENT")</f>
        <v>CONST OPS/BRIDGE REPLACEMENT</v>
      </c>
      <c r="I93" s="6" t="str">
        <f t="shared" ref="I93:I102" si="5">CLEAN("LOC-STR")</f>
        <v>LOC-STR</v>
      </c>
      <c r="J93" s="6">
        <v>4.7E-2</v>
      </c>
    </row>
    <row r="94" spans="1:10" x14ac:dyDescent="0.25">
      <c r="A94" s="6" t="str">
        <f t="shared" si="4"/>
        <v>ROCK</v>
      </c>
      <c r="B94" s="7" t="str">
        <f>CLEAN("5788-00-05")</f>
        <v>5788-00-05</v>
      </c>
      <c r="C94" s="7" t="str">
        <f>CLEAN("5788-00-75")</f>
        <v>5788-00-75</v>
      </c>
      <c r="D94" s="7">
        <v>2020</v>
      </c>
      <c r="E94" s="8">
        <v>43809</v>
      </c>
      <c r="F94" s="6" t="str">
        <f>CLEAN("T NEWARK  SKINNER ROAD")</f>
        <v>T NEWARK  SKINNER ROAD</v>
      </c>
      <c r="G94" s="6" t="str">
        <f>CLEAN("RACCOON CREEK BRIDGE B-53-0378")</f>
        <v>RACCOON CREEK BRIDGE B-53-0378</v>
      </c>
      <c r="H94" s="6" t="str">
        <f>CLEAN("CONST OPS/BRIDGE REPLACEMENT")</f>
        <v>CONST OPS/BRIDGE REPLACEMENT</v>
      </c>
      <c r="I94" s="6" t="str">
        <f t="shared" si="5"/>
        <v>LOC-STR</v>
      </c>
      <c r="J94" s="6">
        <v>2.5000000000000001E-2</v>
      </c>
    </row>
    <row r="95" spans="1:10" x14ac:dyDescent="0.25">
      <c r="A95" s="6" t="str">
        <f t="shared" si="4"/>
        <v>ROCK</v>
      </c>
      <c r="B95" s="7" t="str">
        <f>CLEAN("3621-00-07")</f>
        <v>3621-00-07</v>
      </c>
      <c r="C95" s="7" t="str">
        <f>CLEAN("3621-00-77")</f>
        <v>3621-00-77</v>
      </c>
      <c r="D95" s="7">
        <v>2020</v>
      </c>
      <c r="E95" s="8">
        <v>43872</v>
      </c>
      <c r="F95" s="6" t="str">
        <f>CLEAN("T TURTLE  S. SMITH ROAD")</f>
        <v>T TURTLE  S. SMITH ROAD</v>
      </c>
      <c r="G95" s="6" t="str">
        <f>CLEAN("TURTLE CREEK BRIDGE B-53-0373")</f>
        <v>TURTLE CREEK BRIDGE B-53-0373</v>
      </c>
      <c r="H95" s="6" t="str">
        <f>CLEAN("CONST OPS/BRIDGE REPLACEMENT")</f>
        <v>CONST OPS/BRIDGE REPLACEMENT</v>
      </c>
      <c r="I95" s="6" t="str">
        <f t="shared" si="5"/>
        <v>LOC-STR</v>
      </c>
      <c r="J95" s="6">
        <v>8.5000000000000006E-2</v>
      </c>
    </row>
    <row r="96" spans="1:10" x14ac:dyDescent="0.25">
      <c r="A96" s="6" t="str">
        <f t="shared" si="4"/>
        <v>ROCK</v>
      </c>
      <c r="B96" s="7" t="str">
        <f>CLEAN("3614-00-05")</f>
        <v>3614-00-05</v>
      </c>
      <c r="C96" s="7" t="str">
        <f>CLEAN("3614-00-75")</f>
        <v>3614-00-75</v>
      </c>
      <c r="D96" s="7">
        <v>2020</v>
      </c>
      <c r="E96" s="8">
        <v>43900</v>
      </c>
      <c r="F96" s="6" t="str">
        <f>CLEAN("CREEK RD  T OF BRADFORD")</f>
        <v>CREEK RD  T OF BRADFORD</v>
      </c>
      <c r="G96" s="6" t="str">
        <f>CLEAN("WSOR BRIDGE &amp; APPROACHES B530177")</f>
        <v>WSOR BRIDGE &amp; APPROACHES B530177</v>
      </c>
      <c r="H96" s="6" t="str">
        <f>CLEAN("CONSRT OPS/ BRIDGE REPLACEMENT")</f>
        <v>CONSRT OPS/ BRIDGE REPLACEMENT</v>
      </c>
      <c r="I96" s="6" t="str">
        <f t="shared" si="5"/>
        <v>LOC-STR</v>
      </c>
      <c r="J96" s="6">
        <v>0.246</v>
      </c>
    </row>
    <row r="97" spans="1:10" x14ac:dyDescent="0.25">
      <c r="A97" s="6" t="str">
        <f t="shared" si="4"/>
        <v>ROCK</v>
      </c>
      <c r="B97" s="7" t="str">
        <f>CLEAN("5768-00-05")</f>
        <v>5768-00-05</v>
      </c>
      <c r="C97" s="7" t="str">
        <f>CLEAN("5768-00-75")</f>
        <v>5768-00-75</v>
      </c>
      <c r="D97" s="7">
        <v>2020</v>
      </c>
      <c r="E97" s="8">
        <v>43900</v>
      </c>
      <c r="F97" s="6" t="str">
        <f>CLEAN("T ROCK  JANESVILLE-HANOVER ROAD")</f>
        <v>T ROCK  JANESVILLE-HANOVER ROAD</v>
      </c>
      <c r="G97" s="6" t="str">
        <f>CLEAN("MARKHAM CREEK BIRDGE B-53-0377")</f>
        <v>MARKHAM CREEK BIRDGE B-53-0377</v>
      </c>
      <c r="H97" s="6" t="str">
        <f>CLEAN("CONST OPS/BRIDGE REPLACEMENT")</f>
        <v>CONST OPS/BRIDGE REPLACEMENT</v>
      </c>
      <c r="I97" s="6" t="str">
        <f t="shared" si="5"/>
        <v>LOC-STR</v>
      </c>
      <c r="J97" s="6">
        <v>2.1000000000000001E-2</v>
      </c>
    </row>
    <row r="98" spans="1:10" x14ac:dyDescent="0.25">
      <c r="A98" s="6" t="str">
        <f t="shared" si="4"/>
        <v>ROCK</v>
      </c>
      <c r="B98" s="7" t="str">
        <f>CLEAN("5798-00-09")</f>
        <v>5798-00-09</v>
      </c>
      <c r="C98" s="7" t="str">
        <f>CLEAN("5798-00-11")</f>
        <v>5798-00-11</v>
      </c>
      <c r="D98" s="7">
        <v>2021</v>
      </c>
      <c r="E98" s="8">
        <v>44054</v>
      </c>
      <c r="F98" s="6" t="str">
        <f>CLEAN("C EDGERTON  SOUTH MAIN STREET")</f>
        <v>C EDGERTON  SOUTH MAIN STREET</v>
      </c>
      <c r="G98" s="6" t="str">
        <f>CLEAN("CITY LIMIT(CHT F)TO LORD ST(USH 51)")</f>
        <v>CITY LIMIT(CHT F)TO LORD ST(USH 51)</v>
      </c>
      <c r="H98" s="6" t="str">
        <f>CLEAN("CONST OPS/RECONSTRUCT")</f>
        <v>CONST OPS/RECONSTRUCT</v>
      </c>
      <c r="I98" s="6" t="str">
        <f t="shared" si="5"/>
        <v>LOC-STR</v>
      </c>
      <c r="J98" s="6">
        <v>0.56699999999999995</v>
      </c>
    </row>
    <row r="99" spans="1:10" x14ac:dyDescent="0.25">
      <c r="A99" s="6" t="str">
        <f t="shared" si="4"/>
        <v>ROCK</v>
      </c>
      <c r="B99" s="7" t="str">
        <f>CLEAN("5990-00-80")</f>
        <v>5990-00-80</v>
      </c>
      <c r="C99" s="7" t="str">
        <f>CLEAN("5990-00-81")</f>
        <v>5990-00-81</v>
      </c>
      <c r="D99" s="7">
        <v>2021</v>
      </c>
      <c r="E99" s="8">
        <v>44145</v>
      </c>
      <c r="F99" s="6" t="str">
        <f>CLEAN("C OF JANESVILLE  WEST MILWAUKEE STR")</f>
        <v>C OF JANESVILLE  WEST MILWAUKEE STR</v>
      </c>
      <c r="G99" s="6" t="str">
        <f>CLEAN("100' E CENTER AVE TO RIVER STREET")</f>
        <v>100' E CENTER AVE TO RIVER STREET</v>
      </c>
      <c r="H99" s="6" t="str">
        <f>CLEAN("CONST OPS/RECONSTRUCTION")</f>
        <v>CONST OPS/RECONSTRUCTION</v>
      </c>
      <c r="I99" s="6" t="str">
        <f t="shared" si="5"/>
        <v>LOC-STR</v>
      </c>
      <c r="J99" s="6">
        <v>0.377</v>
      </c>
    </row>
    <row r="100" spans="1:10" x14ac:dyDescent="0.25">
      <c r="A100" s="6" t="str">
        <f t="shared" si="4"/>
        <v>ROCK</v>
      </c>
      <c r="B100" s="7" t="str">
        <f>CLEAN("5990-01-31")</f>
        <v>5990-01-31</v>
      </c>
      <c r="C100" s="7" t="str">
        <f>CLEAN("5990-01-32")</f>
        <v>5990-01-32</v>
      </c>
      <c r="D100" s="7">
        <v>2021</v>
      </c>
      <c r="E100" s="8">
        <v>44173</v>
      </c>
      <c r="F100" s="6" t="str">
        <f>CLEAN("C JANESVILLE  E RACINE STREET")</f>
        <v>C JANESVILLE  E RACINE STREET</v>
      </c>
      <c r="G100" s="6" t="str">
        <f>CLEAN("S RANDALL AVENUE INTERSECTION")</f>
        <v>S RANDALL AVENUE INTERSECTION</v>
      </c>
      <c r="H100" s="6" t="str">
        <f>CLEAN("CONST/SAFETY/SIGNAL IMPROVEMENTS")</f>
        <v>CONST/SAFETY/SIGNAL IMPROVEMENTS</v>
      </c>
      <c r="I100" s="6" t="str">
        <f t="shared" si="5"/>
        <v>LOC-STR</v>
      </c>
      <c r="J100" s="6">
        <v>5.3999999999999999E-2</v>
      </c>
    </row>
    <row r="101" spans="1:10" x14ac:dyDescent="0.25">
      <c r="A101" s="6" t="str">
        <f t="shared" si="4"/>
        <v>ROCK</v>
      </c>
      <c r="B101" s="7" t="str">
        <f>CLEAN("5758-00-03")</f>
        <v>5758-00-03</v>
      </c>
      <c r="C101" s="7" t="str">
        <f>CLEAN("5758-00-73")</f>
        <v>5758-00-73</v>
      </c>
      <c r="D101" s="7">
        <v>2021</v>
      </c>
      <c r="E101" s="8">
        <v>44183</v>
      </c>
      <c r="F101" s="6" t="str">
        <f>CLEAN("TOWN OF JANESVILLE  POLZIN RD")</f>
        <v>TOWN OF JANESVILLE  POLZIN RD</v>
      </c>
      <c r="G101" s="6" t="str">
        <f>CLEAN("MARSH CREEK BRIDGE  B-53-0387")</f>
        <v>MARSH CREEK BRIDGE  B-53-0387</v>
      </c>
      <c r="H101" s="6" t="str">
        <f>CLEAN("CONST OPS/BRIDGE REPLACEMENT")</f>
        <v>CONST OPS/BRIDGE REPLACEMENT</v>
      </c>
      <c r="I101" s="6" t="str">
        <f t="shared" si="5"/>
        <v>LOC-STR</v>
      </c>
      <c r="J101" s="6">
        <v>2.1999999999999999E-2</v>
      </c>
    </row>
    <row r="102" spans="1:10" x14ac:dyDescent="0.25">
      <c r="A102" s="6" t="str">
        <f t="shared" si="4"/>
        <v>ROCK</v>
      </c>
      <c r="B102" s="7" t="str">
        <f>CLEAN("3614-00-07")</f>
        <v>3614-00-07</v>
      </c>
      <c r="C102" s="7" t="str">
        <f>CLEAN("3614-00-77")</f>
        <v>3614-00-77</v>
      </c>
      <c r="D102" s="7">
        <v>2021</v>
      </c>
      <c r="E102" s="8">
        <v>44264</v>
      </c>
      <c r="F102" s="6" t="str">
        <f>CLEAN("T BRADFORD  EMERALD GROVE ROAD")</f>
        <v>T BRADFORD  EMERALD GROVE ROAD</v>
      </c>
      <c r="G102" s="6" t="str">
        <f>CLEAN("WSOR RR BRIDGE B-53-0375")</f>
        <v>WSOR RR BRIDGE B-53-0375</v>
      </c>
      <c r="H102" s="6" t="str">
        <f>CLEAN("CONST OPS/BRIDGE REPLACEMENT")</f>
        <v>CONST OPS/BRIDGE REPLACEMENT</v>
      </c>
      <c r="I102" s="6" t="str">
        <f t="shared" si="5"/>
        <v>LOC-STR</v>
      </c>
      <c r="J102" s="6">
        <v>7.4999999999999997E-2</v>
      </c>
    </row>
    <row r="103" spans="1:10" x14ac:dyDescent="0.25">
      <c r="A103" s="6" t="str">
        <f t="shared" si="4"/>
        <v>ROCK</v>
      </c>
      <c r="B103" s="7" t="str">
        <f>CLEAN("3653-00-00")</f>
        <v>3653-00-00</v>
      </c>
      <c r="C103" s="7" t="str">
        <f>CLEAN("3653-00-70")</f>
        <v>3653-00-70</v>
      </c>
      <c r="D103" s="7">
        <v>2022</v>
      </c>
      <c r="E103" s="8">
        <v>44418</v>
      </c>
      <c r="F103" s="6" t="str">
        <f>CLEAN("CTH S - CTH O")</f>
        <v>CTH S - CTH O</v>
      </c>
      <c r="G103" s="6" t="str">
        <f>CLEAN("TURTLE CREEK BRIDGE  B-53-0386")</f>
        <v>TURTLE CREEK BRIDGE  B-53-0386</v>
      </c>
      <c r="H103" s="6" t="str">
        <f>CLEAN("CONST OPS/ BRIDGE REPLACEMENT")</f>
        <v>CONST OPS/ BRIDGE REPLACEMENT</v>
      </c>
      <c r="I103" s="6" t="str">
        <f>CLEAN("CTH-J")</f>
        <v>CTH-J</v>
      </c>
      <c r="J103" s="6">
        <v>4.3999999999999997E-2</v>
      </c>
    </row>
    <row r="104" spans="1:10" x14ac:dyDescent="0.25">
      <c r="A104" s="6" t="str">
        <f t="shared" si="4"/>
        <v>ROCK</v>
      </c>
      <c r="B104" s="7" t="str">
        <f>CLEAN("3618-00-04")</f>
        <v>3618-00-04</v>
      </c>
      <c r="C104" s="7" t="str">
        <f>CLEAN("3618-00-74")</f>
        <v>3618-00-74</v>
      </c>
      <c r="D104" s="7">
        <v>2022</v>
      </c>
      <c r="E104" s="8">
        <v>44509</v>
      </c>
      <c r="F104" s="6" t="str">
        <f>CLEAN("TOWN OF LA PRAIRIE  ELM DRIVE")</f>
        <v>TOWN OF LA PRAIRIE  ELM DRIVE</v>
      </c>
      <c r="G104" s="6" t="str">
        <f>CLEAN("BR TURTLE CREEK BRIDGE  B-53-0388")</f>
        <v>BR TURTLE CREEK BRIDGE  B-53-0388</v>
      </c>
      <c r="H104" s="6" t="str">
        <f>CLEAN("CONST OPS/BRIDGE REPLACEMENT")</f>
        <v>CONST OPS/BRIDGE REPLACEMENT</v>
      </c>
      <c r="I104" s="6" t="str">
        <f>CLEAN("LOC-STR")</f>
        <v>LOC-STR</v>
      </c>
      <c r="J104" s="6">
        <v>1.4999999999999999E-2</v>
      </c>
    </row>
    <row r="105" spans="1:10" x14ac:dyDescent="0.25">
      <c r="A105" s="6" t="str">
        <f t="shared" si="4"/>
        <v>ROCK</v>
      </c>
      <c r="B105" s="7" t="str">
        <f>CLEAN("5334-00-00")</f>
        <v>5334-00-00</v>
      </c>
      <c r="C105" s="7" t="str">
        <f>CLEAN("5334-00-70")</f>
        <v>5334-00-70</v>
      </c>
      <c r="D105" s="7">
        <v>2022</v>
      </c>
      <c r="E105" s="8">
        <v>44544</v>
      </c>
      <c r="F105" s="6" t="str">
        <f>CLEAN("CITY OF JANESVILLE - US 14")</f>
        <v>CITY OF JANESVILLE - US 14</v>
      </c>
      <c r="G105" s="6" t="str">
        <f>CLEAN("MARSH CREEK BRIDGE  B-53-0385")</f>
        <v>MARSH CREEK BRIDGE  B-53-0385</v>
      </c>
      <c r="H105" s="6" t="str">
        <f>CLEAN("CONST OPS/BRIDGE REPLACEMENT")</f>
        <v>CONST OPS/BRIDGE REPLACEMENT</v>
      </c>
      <c r="I105" s="6" t="str">
        <f>CLEAN("CTH-E")</f>
        <v>CTH-E</v>
      </c>
      <c r="J105" s="6">
        <v>2.5999999999999999E-2</v>
      </c>
    </row>
    <row r="106" spans="1:10" x14ac:dyDescent="0.25">
      <c r="A106" s="6" t="str">
        <f t="shared" si="4"/>
        <v>ROCK</v>
      </c>
      <c r="B106" s="7" t="str">
        <f>CLEAN("5990-01-27")</f>
        <v>5990-01-27</v>
      </c>
      <c r="C106" s="7" t="str">
        <f>CLEAN("5990-01-28")</f>
        <v>5990-01-28</v>
      </c>
      <c r="D106" s="7">
        <v>2022</v>
      </c>
      <c r="E106" s="8">
        <v>44544</v>
      </c>
      <c r="F106" s="6" t="str">
        <f>CLEAN("C JANESVILLE  W MEMORIAL DRIVE")</f>
        <v>C JANESVILLE  W MEMORIAL DRIVE</v>
      </c>
      <c r="G106" s="6" t="str">
        <f>CLEAN("N WASHINGTON STREET INTERSECTION")</f>
        <v>N WASHINGTON STREET INTERSECTION</v>
      </c>
      <c r="H106" s="6" t="str">
        <f>CLEAN("CONST/SAFETY/SIGNAL IMPROVEMENTS")</f>
        <v>CONST/SAFETY/SIGNAL IMPROVEMENTS</v>
      </c>
      <c r="I106" s="6" t="str">
        <f>CLEAN("LOC-STR")</f>
        <v>LOC-STR</v>
      </c>
      <c r="J106" s="6">
        <v>7.4999999999999997E-2</v>
      </c>
    </row>
    <row r="107" spans="1:10" x14ac:dyDescent="0.25">
      <c r="A107" s="6" t="str">
        <f t="shared" si="4"/>
        <v>ROCK</v>
      </c>
      <c r="B107" s="7" t="str">
        <f>CLEAN("5990-01-29")</f>
        <v>5990-01-29</v>
      </c>
      <c r="C107" s="7" t="str">
        <f>CLEAN("5990-01-30")</f>
        <v>5990-01-30</v>
      </c>
      <c r="D107" s="7">
        <v>2022</v>
      </c>
      <c r="E107" s="8">
        <v>44544</v>
      </c>
      <c r="F107" s="6" t="str">
        <f>CLEAN("C JANESVILLE  E MILWAUKEE STREET")</f>
        <v>C JANESVILLE  E MILWAUKEE STREET</v>
      </c>
      <c r="G107" s="6" t="str">
        <f>CLEAN("RANDALL AVENUE INTERSECTION")</f>
        <v>RANDALL AVENUE INTERSECTION</v>
      </c>
      <c r="H107" s="6" t="str">
        <f>CLEAN("CONST/SAFETY/SIGNAL IMPROVEMENTS")</f>
        <v>CONST/SAFETY/SIGNAL IMPROVEMENTS</v>
      </c>
      <c r="I107" s="6" t="str">
        <f>CLEAN("LOC-STR")</f>
        <v>LOC-STR</v>
      </c>
      <c r="J107" s="6">
        <v>6.5000000000000002E-2</v>
      </c>
    </row>
    <row r="108" spans="1:10" x14ac:dyDescent="0.25">
      <c r="A108" s="6" t="str">
        <f t="shared" si="4"/>
        <v>ROCK</v>
      </c>
      <c r="B108" s="7" t="s">
        <v>30</v>
      </c>
      <c r="C108" s="7" t="s">
        <v>31</v>
      </c>
      <c r="D108" s="7">
        <v>2021</v>
      </c>
      <c r="E108" s="8">
        <v>44160</v>
      </c>
      <c r="F108" s="6" t="s">
        <v>32</v>
      </c>
      <c r="G108" s="6" t="s">
        <v>33</v>
      </c>
      <c r="H108" s="6" t="s">
        <v>34</v>
      </c>
      <c r="I108" s="6" t="str">
        <f>CLEAN("LOC-STR")</f>
        <v>LOC-STR</v>
      </c>
      <c r="J108" s="6">
        <v>1.35</v>
      </c>
    </row>
    <row r="109" spans="1:10" x14ac:dyDescent="0.25">
      <c r="A109" s="6"/>
      <c r="B109" s="7"/>
      <c r="C109" s="7"/>
      <c r="D109" s="7"/>
      <c r="E109" s="8"/>
      <c r="F109" s="6"/>
      <c r="G109" s="6"/>
      <c r="H109" s="6"/>
      <c r="I109" s="6"/>
      <c r="J109" s="6"/>
    </row>
    <row r="110" spans="1:10" x14ac:dyDescent="0.25">
      <c r="A110" s="6" t="str">
        <f t="shared" ref="A110:A115" si="6">CLEAN("SAUK")</f>
        <v>SAUK</v>
      </c>
      <c r="B110" s="7" t="str">
        <f>CLEAN("5678-00-03")</f>
        <v>5678-00-03</v>
      </c>
      <c r="C110" s="7" t="str">
        <f>CLEAN("5678-00-73")</f>
        <v>5678-00-73</v>
      </c>
      <c r="D110" s="7">
        <v>2021</v>
      </c>
      <c r="E110" s="8">
        <v>44173</v>
      </c>
      <c r="F110" s="6" t="str">
        <f>CLEAN("CTH PF - US 12")</f>
        <v>CTH PF - US 12</v>
      </c>
      <c r="G110" s="6" t="str">
        <f>CLEAN("PINE CREEK BRIDGE  B-56-0239")</f>
        <v>PINE CREEK BRIDGE  B-56-0239</v>
      </c>
      <c r="H110" s="6" t="str">
        <f>CLEAN("CONST OPS/BRIDGE REPLACEMENT")</f>
        <v>CONST OPS/BRIDGE REPLACEMENT</v>
      </c>
      <c r="I110" s="6" t="str">
        <f>CLEAN("CTH-W")</f>
        <v>CTH-W</v>
      </c>
      <c r="J110" s="6">
        <v>0.03</v>
      </c>
    </row>
    <row r="111" spans="1:10" x14ac:dyDescent="0.25">
      <c r="A111" s="6" t="str">
        <f t="shared" si="6"/>
        <v>SAUK</v>
      </c>
      <c r="B111" s="7" t="str">
        <f>CLEAN("5963-00-02")</f>
        <v>5963-00-02</v>
      </c>
      <c r="C111" s="7" t="str">
        <f>CLEAN("5963-00-72")</f>
        <v>5963-00-72</v>
      </c>
      <c r="D111" s="7">
        <v>2021</v>
      </c>
      <c r="E111" s="8">
        <v>44173</v>
      </c>
      <c r="F111" s="6" t="str">
        <f>CLEAN("STH 130 - CTH G")</f>
        <v>STH 130 - CTH G</v>
      </c>
      <c r="G111" s="6" t="str">
        <f>CLEAN("LITTLE BEAR CREEK BRIDGE  B-56-0240")</f>
        <v>LITTLE BEAR CREEK BRIDGE  B-56-0240</v>
      </c>
      <c r="H111" s="6" t="str">
        <f>CLEAN("CONST OPS/BRIDGE REPLACEMENT")</f>
        <v>CONST OPS/BRIDGE REPLACEMENT</v>
      </c>
      <c r="I111" s="6" t="str">
        <f>CLEAN("CTH-B")</f>
        <v>CTH-B</v>
      </c>
      <c r="J111" s="6">
        <v>2.1999999999999999E-2</v>
      </c>
    </row>
    <row r="112" spans="1:10" x14ac:dyDescent="0.25">
      <c r="A112" s="6" t="str">
        <f t="shared" si="6"/>
        <v>SAUK</v>
      </c>
      <c r="B112" s="7" t="str">
        <f>CLEAN("5207-00-69")</f>
        <v>5207-00-69</v>
      </c>
      <c r="C112" s="7" t="str">
        <f>CLEAN("5207-00-70")</f>
        <v>5207-00-70</v>
      </c>
      <c r="D112" s="7">
        <v>2022</v>
      </c>
      <c r="E112" s="8">
        <v>44544</v>
      </c>
      <c r="F112" s="6" t="str">
        <f>CLEAN("C REEDSBURG  K STREET")</f>
        <v>C REEDSBURG  K STREET</v>
      </c>
      <c r="G112" s="6" t="str">
        <f>CLEAN("ALEXANDER AVE TO ALBERT AVENUE")</f>
        <v>ALEXANDER AVE TO ALBERT AVENUE</v>
      </c>
      <c r="H112" s="6" t="str">
        <f>CLEAN("CONST OPS/RECONSTRUCT")</f>
        <v>CONST OPS/RECONSTRUCT</v>
      </c>
      <c r="I112" s="6" t="str">
        <f>CLEAN("LOC-STR")</f>
        <v>LOC-STR</v>
      </c>
      <c r="J112" s="6">
        <v>0.27</v>
      </c>
    </row>
    <row r="113" spans="1:10" x14ac:dyDescent="0.25">
      <c r="A113" s="6" t="str">
        <f t="shared" si="6"/>
        <v>SAUK</v>
      </c>
      <c r="B113" s="7" t="str">
        <f>CLEAN("5897-00-30")</f>
        <v>5897-00-30</v>
      </c>
      <c r="C113" s="7" t="str">
        <f>CLEAN("5897-00-60")</f>
        <v>5897-00-60</v>
      </c>
      <c r="D113" s="7">
        <v>2022</v>
      </c>
      <c r="E113" s="8">
        <v>44600</v>
      </c>
      <c r="F113" s="6" t="str">
        <f>CLEAN("REEDSBURG - WISCONSIN DELLS")</f>
        <v>REEDSBURG - WISCONSIN DELLS</v>
      </c>
      <c r="G113" s="6" t="str">
        <f>CLEAN("GOLF COURSE ROAD TO OLD 12")</f>
        <v>GOLF COURSE ROAD TO OLD 12</v>
      </c>
      <c r="H113" s="6" t="str">
        <f>CLEAN("CONST/SIGNING/MARKING IMPROVEMENTS")</f>
        <v>CONST/SIGNING/MARKING IMPROVEMENTS</v>
      </c>
      <c r="I113" s="6" t="str">
        <f>CLEAN("CTH-H")</f>
        <v>CTH-H</v>
      </c>
      <c r="J113" s="6">
        <v>11.417999999999999</v>
      </c>
    </row>
    <row r="114" spans="1:10" x14ac:dyDescent="0.25">
      <c r="A114" s="6" t="str">
        <f t="shared" si="6"/>
        <v>SAUK</v>
      </c>
      <c r="B114" s="7" t="str">
        <f>CLEAN("5263-00-30")</f>
        <v>5263-00-30</v>
      </c>
      <c r="C114" s="7" t="str">
        <f>CLEAN("5263-00-60")</f>
        <v>5263-00-60</v>
      </c>
      <c r="D114" s="7">
        <v>2023</v>
      </c>
      <c r="E114" s="8">
        <v>44971</v>
      </c>
      <c r="F114" s="6" t="str">
        <f>CLEAN("BARABOO - IH 90/94")</f>
        <v>BARABOO - IH 90/94</v>
      </c>
      <c r="G114" s="6" t="str">
        <f>CLEAN("CITY VIEW RD/MAN MOUND RD TO CTH U")</f>
        <v>CITY VIEW RD/MAN MOUND RD TO CTH U</v>
      </c>
      <c r="H114" s="6" t="str">
        <f>CLEAN("CONST/SIGNING/MARKING/CURVE PAV'T")</f>
        <v>CONST/SIGNING/MARKING/CURVE PAV'T</v>
      </c>
      <c r="I114" s="6" t="str">
        <f>CLEAN("CTH-T")</f>
        <v>CTH-T</v>
      </c>
      <c r="J114" s="6">
        <v>4.6120000000000001</v>
      </c>
    </row>
    <row r="115" spans="1:10" x14ac:dyDescent="0.25">
      <c r="A115" s="6" t="str">
        <f t="shared" si="6"/>
        <v>SAUK</v>
      </c>
      <c r="B115" s="7" t="str">
        <f>CLEAN("5899-00-30")</f>
        <v>5899-00-30</v>
      </c>
      <c r="C115" s="7" t="str">
        <f>CLEAN("5899-00-60")</f>
        <v>5899-00-60</v>
      </c>
      <c r="D115" s="7">
        <v>2024</v>
      </c>
      <c r="E115" s="8">
        <v>45335</v>
      </c>
      <c r="F115" s="6" t="str">
        <f>CLEAN("REEDSBURG - LYNDON STATION")</f>
        <v>REEDSBURG - LYNDON STATION</v>
      </c>
      <c r="G115" s="6" t="str">
        <f>CLEAN("CTH H TO THE JUNEAU COUNTY LINE")</f>
        <v>CTH H TO THE JUNEAU COUNTY LINE</v>
      </c>
      <c r="H115" s="6" t="str">
        <f>CLEAN("CONST/SIGNING/MARKING/CURVE PAV'T")</f>
        <v>CONST/SIGNING/MARKING/CURVE PAV'T</v>
      </c>
      <c r="I115" s="6" t="str">
        <f>CLEAN("CTH-HH")</f>
        <v>CTH-HH</v>
      </c>
      <c r="J115" s="6">
        <v>3.4860000000000002</v>
      </c>
    </row>
    <row r="116" spans="1:10" x14ac:dyDescent="0.25">
      <c r="A116" s="6"/>
      <c r="B116" s="7"/>
      <c r="C116" s="7"/>
      <c r="D116" s="7"/>
      <c r="E116" s="8"/>
      <c r="F116" s="6"/>
      <c r="G116" s="6"/>
      <c r="H116" s="6"/>
      <c r="I116" s="6"/>
      <c r="J116" s="6"/>
    </row>
    <row r="117" spans="1:10" x14ac:dyDescent="0.25">
      <c r="A117" s="6" t="str">
        <f>CLEAN("VERNON")</f>
        <v>VERNON</v>
      </c>
      <c r="B117" s="7" t="str">
        <f>CLEAN("5476-00-00")</f>
        <v>5476-00-00</v>
      </c>
      <c r="C117" s="7" t="str">
        <f>CLEAN("5476-00-70")</f>
        <v>5476-00-70</v>
      </c>
      <c r="D117" s="7">
        <v>2020</v>
      </c>
      <c r="E117" s="8">
        <v>43963</v>
      </c>
      <c r="F117" s="6" t="str">
        <f>CLEAN("STH 162 - STH 35")</f>
        <v>STH 162 - STH 35</v>
      </c>
      <c r="G117" s="6" t="str">
        <f>CLEAN("S CHIPMUNK COULEE CR BR B-62-0261")</f>
        <v>S CHIPMUNK COULEE CR BR B-62-0261</v>
      </c>
      <c r="H117" s="6" t="str">
        <f>CLEAN("CONST OPS/BRIDGE DECK REPLACEMENT")</f>
        <v>CONST OPS/BRIDGE DECK REPLACEMENT</v>
      </c>
      <c r="I117" s="6" t="str">
        <f>CLEAN("CTH-K")</f>
        <v>CTH-K</v>
      </c>
      <c r="J117" s="6">
        <v>0.03</v>
      </c>
    </row>
    <row r="118" spans="1:10" x14ac:dyDescent="0.25">
      <c r="A118" s="6" t="str">
        <f>CLEAN("VERNON")</f>
        <v>VERNON</v>
      </c>
      <c r="B118" s="7" t="str">
        <f>CLEAN("5478-00-00")</f>
        <v>5478-00-00</v>
      </c>
      <c r="C118" s="7" t="str">
        <f>CLEAN("5478-00-72")</f>
        <v>5478-00-72</v>
      </c>
      <c r="D118" s="7">
        <v>2021</v>
      </c>
      <c r="E118" s="8">
        <v>44173</v>
      </c>
      <c r="F118" s="6" t="str">
        <f>CLEAN("CTH X - STH 27")</f>
        <v>CTH X - STH 27</v>
      </c>
      <c r="G118" s="6" t="str">
        <f>CLEAN("TIMBER COULEE CREEK BR  B-62-0260")</f>
        <v>TIMBER COULEE CREEK BR  B-62-0260</v>
      </c>
      <c r="H118" s="6" t="str">
        <f>CLEAN("CONST OPS/BRIDGE REPLACEMENT")</f>
        <v>CONST OPS/BRIDGE REPLACEMENT</v>
      </c>
      <c r="I118" s="6" t="str">
        <f>CLEAN("CTH-P")</f>
        <v>CTH-P</v>
      </c>
      <c r="J118" s="6">
        <v>2.4E-2</v>
      </c>
    </row>
    <row r="119" spans="1:10" x14ac:dyDescent="0.25">
      <c r="A119" s="6" t="str">
        <f>CLEAN("VERNON")</f>
        <v>VERNON</v>
      </c>
      <c r="B119" s="7" t="str">
        <f>CLEAN("5479-00-00")</f>
        <v>5479-00-00</v>
      </c>
      <c r="C119" s="7" t="str">
        <f>CLEAN("5479-00-70")</f>
        <v>5479-00-70</v>
      </c>
      <c r="D119" s="7">
        <v>2021</v>
      </c>
      <c r="E119" s="8">
        <v>44173</v>
      </c>
      <c r="F119" s="6" t="str">
        <f>CLEAN("CTH EE - STH 80")</f>
        <v>CTH EE - STH 80</v>
      </c>
      <c r="G119" s="6" t="str">
        <f>CLEAN("BR S BR BARABOO RVR BRIDGE B62-0259")</f>
        <v>BR S BR BARABOO RVR BRIDGE B62-0259</v>
      </c>
      <c r="H119" s="6" t="str">
        <f>CLEAN("CONST OPS/BRIDGE REPLACEMENT")</f>
        <v>CONST OPS/BRIDGE REPLACEMENT</v>
      </c>
      <c r="I119" s="6" t="str">
        <f>CLEAN("CTH-Q")</f>
        <v>CTH-Q</v>
      </c>
      <c r="J119" s="6">
        <v>2.4E-2</v>
      </c>
    </row>
    <row r="120" spans="1:10" x14ac:dyDescent="0.25">
      <c r="A120" s="6" t="str">
        <f>CLEAN("VERNON")</f>
        <v>VERNON</v>
      </c>
      <c r="B120" s="7" t="str">
        <f>CLEAN("5385-00-00")</f>
        <v>5385-00-00</v>
      </c>
      <c r="C120" s="7" t="str">
        <f>CLEAN("5385-00-70")</f>
        <v>5385-00-70</v>
      </c>
      <c r="D120" s="7">
        <v>2022</v>
      </c>
      <c r="E120" s="8">
        <v>44544</v>
      </c>
      <c r="F120" s="6" t="str">
        <f>CLEAN("TOWN OF FRANKLIN  TAINTER HOLLOW RD")</f>
        <v>TOWN OF FRANKLIN  TAINTER HOLLOW RD</v>
      </c>
      <c r="G120" s="6" t="str">
        <f>CLEAN("BR TAINTER CREEK BRIDGE  B-62-0262")</f>
        <v>BR TAINTER CREEK BRIDGE  B-62-0262</v>
      </c>
      <c r="H120" s="6" t="str">
        <f>CLEAN("CONST OPS/BRIDGE REPLACEMENT")</f>
        <v>CONST OPS/BRIDGE REPLACEMENT</v>
      </c>
      <c r="I120" s="6" t="str">
        <f>CLEAN("LOC-STR")</f>
        <v>LOC-STR</v>
      </c>
      <c r="J120" s="6">
        <v>2.4E-2</v>
      </c>
    </row>
  </sheetData>
  <sortState ref="A117:J120">
    <sortCondition ref="E117"/>
  </sortState>
  <pageMargins left="0.7" right="0.7" top="0.75" bottom="0.75" header="0.3" footer="0.3"/>
  <pageSetup paperSize="3" scale="99" fitToHeight="0" orientation="landscape" r:id="rId1"/>
  <headerFooter>
    <oddHeader>&amp;CSouthwest Region 6-Year Local Program Snapshot
January 7, 2020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7FF7EE-0F57-4C57-9E2F-6FBBF1D9FB21}"/>
</file>

<file path=customXml/itemProps2.xml><?xml version="1.0" encoding="utf-8"?>
<ds:datastoreItem xmlns:ds="http://schemas.openxmlformats.org/officeDocument/2006/customXml" ds:itemID="{1EA71DF2-242D-4E0F-9F7A-3C25FA718887}"/>
</file>

<file path=customXml/itemProps3.xml><?xml version="1.0" encoding="utf-8"?>
<ds:datastoreItem xmlns:ds="http://schemas.openxmlformats.org/officeDocument/2006/customXml" ds:itemID="{2B167D70-EA70-4E88-9460-D39E37D10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1.7.20 Localreport</vt:lpstr>
      <vt:lpstr>'1.7.20 Localreport'!Print_Area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KOZOL, DEBORAH T</dc:creator>
  <cp:lastModifiedBy>KOZOL, DEBORAH T</cp:lastModifiedBy>
  <cp:lastPrinted>2020-01-07T19:24:00Z</cp:lastPrinted>
  <dcterms:created xsi:type="dcterms:W3CDTF">2020-01-07T19:04:13Z</dcterms:created>
  <dcterms:modified xsi:type="dcterms:W3CDTF">2020-01-09T20:15:44Z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