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D1T\Desktop\"/>
    </mc:Choice>
  </mc:AlternateContent>
  <xr:revisionPtr revIDLastSave="0" documentId="8_{E159CF70-B0A7-4E4C-9AB0-C96187E0B7B7}" xr6:coauthVersionLast="47" xr6:coauthVersionMax="47" xr10:uidLastSave="{00000000-0000-0000-0000-000000000000}"/>
  <bookViews>
    <workbookView xWindow="28680" yWindow="-120" windowWidth="29040" windowHeight="15840"/>
  </bookViews>
  <sheets>
    <sheet name="MC20231201" sheetId="1" r:id="rId1"/>
  </sheets>
  <calcPr calcId="0"/>
</workbook>
</file>

<file path=xl/calcChain.xml><?xml version="1.0" encoding="utf-8"?>
<calcChain xmlns="http://schemas.openxmlformats.org/spreadsheetml/2006/main">
  <c r="A2" i="1" l="1"/>
  <c r="B2" i="1"/>
  <c r="D2" i="1"/>
  <c r="E2" i="1"/>
  <c r="F2" i="1"/>
  <c r="G2" i="1"/>
  <c r="H2" i="1"/>
  <c r="I2" i="1"/>
  <c r="J2" i="1"/>
  <c r="K2" i="1"/>
  <c r="L2" i="1"/>
  <c r="M2" i="1"/>
  <c r="O2" i="1"/>
  <c r="P2" i="1"/>
  <c r="A3" i="1"/>
  <c r="B3" i="1"/>
  <c r="D3" i="1"/>
  <c r="E3" i="1"/>
  <c r="F3" i="1"/>
  <c r="G3" i="1"/>
  <c r="H3" i="1"/>
  <c r="I3" i="1"/>
  <c r="J3" i="1"/>
  <c r="K3" i="1"/>
  <c r="L3" i="1"/>
  <c r="M3" i="1"/>
  <c r="O3" i="1"/>
  <c r="P3" i="1"/>
  <c r="A4" i="1"/>
  <c r="B4" i="1"/>
  <c r="D4" i="1"/>
  <c r="E4" i="1"/>
  <c r="F4" i="1"/>
  <c r="G4" i="1"/>
  <c r="H4" i="1"/>
  <c r="I4" i="1"/>
  <c r="J4" i="1"/>
  <c r="K4" i="1"/>
  <c r="L4" i="1"/>
  <c r="M4" i="1"/>
  <c r="O4" i="1"/>
  <c r="P4" i="1"/>
  <c r="A5" i="1"/>
  <c r="B5" i="1"/>
  <c r="D5" i="1"/>
  <c r="E5" i="1"/>
  <c r="F5" i="1"/>
  <c r="G5" i="1"/>
  <c r="H5" i="1"/>
  <c r="I5" i="1"/>
  <c r="J5" i="1"/>
  <c r="K5" i="1"/>
  <c r="L5" i="1"/>
  <c r="M5" i="1"/>
  <c r="O5" i="1"/>
  <c r="P5" i="1"/>
  <c r="A6" i="1"/>
  <c r="B6" i="1"/>
  <c r="D6" i="1"/>
  <c r="E6" i="1"/>
  <c r="F6" i="1"/>
  <c r="G6" i="1"/>
  <c r="H6" i="1"/>
  <c r="I6" i="1"/>
  <c r="J6" i="1"/>
  <c r="K6" i="1"/>
  <c r="L6" i="1"/>
  <c r="M6" i="1"/>
  <c r="O6" i="1"/>
  <c r="P6" i="1"/>
  <c r="A7" i="1"/>
  <c r="B7" i="1"/>
  <c r="D7" i="1"/>
  <c r="E7" i="1"/>
  <c r="F7" i="1"/>
  <c r="G7" i="1"/>
  <c r="H7" i="1"/>
  <c r="I7" i="1"/>
  <c r="J7" i="1"/>
  <c r="K7" i="1"/>
  <c r="L7" i="1"/>
  <c r="M7" i="1"/>
  <c r="O7" i="1"/>
  <c r="P7" i="1"/>
  <c r="A8" i="1"/>
  <c r="B8" i="1"/>
  <c r="D8" i="1"/>
  <c r="E8" i="1"/>
  <c r="F8" i="1"/>
  <c r="G8" i="1"/>
  <c r="H8" i="1"/>
  <c r="I8" i="1"/>
  <c r="J8" i="1"/>
  <c r="K8" i="1"/>
  <c r="L8" i="1"/>
  <c r="M8" i="1"/>
  <c r="O8" i="1"/>
  <c r="P8" i="1"/>
  <c r="A9" i="1"/>
  <c r="B9" i="1"/>
  <c r="D9" i="1"/>
  <c r="E9" i="1"/>
  <c r="F9" i="1"/>
  <c r="G9" i="1"/>
  <c r="H9" i="1"/>
  <c r="I9" i="1"/>
  <c r="J9" i="1"/>
  <c r="K9" i="1"/>
  <c r="L9" i="1"/>
  <c r="M9" i="1"/>
  <c r="O9" i="1"/>
  <c r="P9" i="1"/>
  <c r="A10" i="1"/>
  <c r="B10" i="1"/>
  <c r="D10" i="1"/>
  <c r="E10" i="1"/>
  <c r="F10" i="1"/>
  <c r="G10" i="1"/>
  <c r="H10" i="1"/>
  <c r="I10" i="1"/>
  <c r="J10" i="1"/>
  <c r="K10" i="1"/>
  <c r="L10" i="1"/>
  <c r="M10" i="1"/>
  <c r="O10" i="1"/>
  <c r="P10" i="1"/>
  <c r="A11" i="1"/>
  <c r="B11" i="1"/>
  <c r="D11" i="1"/>
  <c r="E11" i="1"/>
  <c r="F11" i="1"/>
  <c r="G11" i="1"/>
  <c r="H11" i="1"/>
  <c r="I11" i="1"/>
  <c r="J11" i="1"/>
  <c r="K11" i="1"/>
  <c r="L11" i="1"/>
  <c r="M11" i="1"/>
  <c r="O11" i="1"/>
  <c r="P11" i="1"/>
  <c r="A12" i="1"/>
  <c r="B12" i="1"/>
  <c r="D12" i="1"/>
  <c r="E12" i="1"/>
  <c r="F12" i="1"/>
  <c r="G12" i="1"/>
  <c r="H12" i="1"/>
  <c r="I12" i="1"/>
  <c r="J12" i="1"/>
  <c r="K12" i="1"/>
  <c r="L12" i="1"/>
  <c r="M12" i="1"/>
  <c r="O12" i="1"/>
  <c r="P12" i="1"/>
  <c r="A13" i="1"/>
  <c r="B13" i="1"/>
  <c r="D13" i="1"/>
  <c r="E13" i="1"/>
  <c r="F13" i="1"/>
  <c r="G13" i="1"/>
  <c r="H13" i="1"/>
  <c r="I13" i="1"/>
  <c r="J13" i="1"/>
  <c r="K13" i="1"/>
  <c r="L13" i="1"/>
  <c r="M13" i="1"/>
  <c r="O13" i="1"/>
  <c r="P13" i="1"/>
  <c r="A14" i="1"/>
  <c r="B14" i="1"/>
  <c r="D14" i="1"/>
  <c r="E14" i="1"/>
  <c r="F14" i="1"/>
  <c r="G14" i="1"/>
  <c r="H14" i="1"/>
  <c r="I14" i="1"/>
  <c r="J14" i="1"/>
  <c r="K14" i="1"/>
  <c r="L14" i="1"/>
  <c r="M14" i="1"/>
  <c r="O14" i="1"/>
  <c r="P14" i="1"/>
  <c r="A15" i="1"/>
  <c r="B15" i="1"/>
  <c r="D15" i="1"/>
  <c r="E15" i="1"/>
  <c r="F15" i="1"/>
  <c r="G15" i="1"/>
  <c r="H15" i="1"/>
  <c r="I15" i="1"/>
  <c r="J15" i="1"/>
  <c r="K15" i="1"/>
  <c r="L15" i="1"/>
  <c r="M15" i="1"/>
  <c r="O15" i="1"/>
  <c r="P15" i="1"/>
  <c r="A16" i="1"/>
  <c r="B16" i="1"/>
  <c r="D16" i="1"/>
  <c r="E16" i="1"/>
  <c r="F16" i="1"/>
  <c r="G16" i="1"/>
  <c r="H16" i="1"/>
  <c r="I16" i="1"/>
  <c r="J16" i="1"/>
  <c r="K16" i="1"/>
  <c r="L16" i="1"/>
  <c r="M16" i="1"/>
  <c r="O16" i="1"/>
  <c r="P16" i="1"/>
  <c r="A17" i="1"/>
  <c r="B17" i="1"/>
  <c r="D17" i="1"/>
  <c r="E17" i="1"/>
  <c r="F17" i="1"/>
  <c r="G17" i="1"/>
  <c r="H17" i="1"/>
  <c r="I17" i="1"/>
  <c r="J17" i="1"/>
  <c r="K17" i="1"/>
  <c r="L17" i="1"/>
  <c r="M17" i="1"/>
  <c r="O17" i="1"/>
  <c r="P17" i="1"/>
  <c r="A18" i="1"/>
  <c r="B18" i="1"/>
  <c r="D18" i="1"/>
  <c r="E18" i="1"/>
  <c r="F18" i="1"/>
  <c r="G18" i="1"/>
  <c r="H18" i="1"/>
  <c r="I18" i="1"/>
  <c r="J18" i="1"/>
  <c r="K18" i="1"/>
  <c r="L18" i="1"/>
  <c r="M18" i="1"/>
  <c r="O18" i="1"/>
  <c r="P18" i="1"/>
  <c r="A19" i="1"/>
  <c r="B19" i="1"/>
  <c r="D19" i="1"/>
  <c r="E19" i="1"/>
  <c r="F19" i="1"/>
  <c r="G19" i="1"/>
  <c r="H19" i="1"/>
  <c r="I19" i="1"/>
  <c r="J19" i="1"/>
  <c r="K19" i="1"/>
  <c r="L19" i="1"/>
  <c r="M19" i="1"/>
  <c r="O19" i="1"/>
  <c r="P19" i="1"/>
  <c r="A20" i="1"/>
  <c r="B20" i="1"/>
  <c r="D20" i="1"/>
  <c r="E20" i="1"/>
  <c r="F20" i="1"/>
  <c r="G20" i="1"/>
  <c r="H20" i="1"/>
  <c r="I20" i="1"/>
  <c r="J20" i="1"/>
  <c r="K20" i="1"/>
  <c r="L20" i="1"/>
  <c r="M20" i="1"/>
  <c r="O20" i="1"/>
  <c r="P20" i="1"/>
  <c r="A21" i="1"/>
  <c r="B21" i="1"/>
  <c r="D21" i="1"/>
  <c r="E21" i="1"/>
  <c r="F21" i="1"/>
  <c r="G21" i="1"/>
  <c r="H21" i="1"/>
  <c r="I21" i="1"/>
  <c r="J21" i="1"/>
  <c r="K21" i="1"/>
  <c r="L21" i="1"/>
  <c r="M21" i="1"/>
  <c r="O21" i="1"/>
  <c r="P21" i="1"/>
  <c r="A22" i="1"/>
  <c r="B22" i="1"/>
  <c r="D22" i="1"/>
  <c r="E22" i="1"/>
  <c r="F22" i="1"/>
  <c r="G22" i="1"/>
  <c r="H22" i="1"/>
  <c r="I22" i="1"/>
  <c r="J22" i="1"/>
  <c r="K22" i="1"/>
  <c r="L22" i="1"/>
  <c r="M22" i="1"/>
  <c r="O22" i="1"/>
  <c r="P22" i="1"/>
  <c r="A23" i="1"/>
  <c r="B23" i="1"/>
  <c r="D23" i="1"/>
  <c r="E23" i="1"/>
  <c r="F23" i="1"/>
  <c r="G23" i="1"/>
  <c r="H23" i="1"/>
  <c r="I23" i="1"/>
  <c r="J23" i="1"/>
  <c r="K23" i="1"/>
  <c r="L23" i="1"/>
  <c r="M23" i="1"/>
  <c r="O23" i="1"/>
  <c r="P23" i="1"/>
  <c r="A24" i="1"/>
  <c r="B24" i="1"/>
  <c r="D24" i="1"/>
  <c r="E24" i="1"/>
  <c r="F24" i="1"/>
  <c r="G24" i="1"/>
  <c r="H24" i="1"/>
  <c r="I24" i="1"/>
  <c r="J24" i="1"/>
  <c r="K24" i="1"/>
  <c r="L24" i="1"/>
  <c r="M24" i="1"/>
  <c r="O24" i="1"/>
  <c r="P24" i="1"/>
  <c r="A25" i="1"/>
  <c r="B25" i="1"/>
  <c r="D25" i="1"/>
  <c r="E25" i="1"/>
  <c r="F25" i="1"/>
  <c r="G25" i="1"/>
  <c r="H25" i="1"/>
  <c r="I25" i="1"/>
  <c r="J25" i="1"/>
  <c r="K25" i="1"/>
  <c r="L25" i="1"/>
  <c r="M25" i="1"/>
  <c r="O25" i="1"/>
  <c r="P25" i="1"/>
  <c r="A26" i="1"/>
  <c r="B26" i="1"/>
  <c r="D26" i="1"/>
  <c r="E26" i="1"/>
  <c r="F26" i="1"/>
  <c r="G26" i="1"/>
  <c r="H26" i="1"/>
  <c r="I26" i="1"/>
  <c r="J26" i="1"/>
  <c r="K26" i="1"/>
  <c r="L26" i="1"/>
  <c r="M26" i="1"/>
  <c r="O26" i="1"/>
  <c r="P26" i="1"/>
  <c r="A27" i="1"/>
  <c r="B27" i="1"/>
  <c r="D27" i="1"/>
  <c r="E27" i="1"/>
  <c r="F27" i="1"/>
  <c r="G27" i="1"/>
  <c r="H27" i="1"/>
  <c r="I27" i="1"/>
  <c r="J27" i="1"/>
  <c r="K27" i="1"/>
  <c r="L27" i="1"/>
  <c r="M27" i="1"/>
  <c r="O27" i="1"/>
  <c r="P27" i="1"/>
  <c r="A28" i="1"/>
  <c r="B28" i="1"/>
  <c r="D28" i="1"/>
  <c r="E28" i="1"/>
  <c r="F28" i="1"/>
  <c r="G28" i="1"/>
  <c r="H28" i="1"/>
  <c r="I28" i="1"/>
  <c r="J28" i="1"/>
  <c r="K28" i="1"/>
  <c r="L28" i="1"/>
  <c r="M28" i="1"/>
  <c r="O28" i="1"/>
  <c r="P28" i="1"/>
  <c r="A29" i="1"/>
  <c r="B29" i="1"/>
  <c r="D29" i="1"/>
  <c r="E29" i="1"/>
  <c r="F29" i="1"/>
  <c r="G29" i="1"/>
  <c r="H29" i="1"/>
  <c r="I29" i="1"/>
  <c r="J29" i="1"/>
  <c r="K29" i="1"/>
  <c r="L29" i="1"/>
  <c r="M29" i="1"/>
  <c r="O29" i="1"/>
  <c r="P29" i="1"/>
  <c r="A30" i="1"/>
  <c r="B30" i="1"/>
  <c r="D30" i="1"/>
  <c r="E30" i="1"/>
  <c r="F30" i="1"/>
  <c r="G30" i="1"/>
  <c r="H30" i="1"/>
  <c r="I30" i="1"/>
  <c r="J30" i="1"/>
  <c r="K30" i="1"/>
  <c r="L30" i="1"/>
  <c r="M30" i="1"/>
  <c r="O30" i="1"/>
  <c r="P30" i="1"/>
  <c r="A31" i="1"/>
  <c r="B31" i="1"/>
  <c r="D31" i="1"/>
  <c r="E31" i="1"/>
  <c r="F31" i="1"/>
  <c r="G31" i="1"/>
  <c r="H31" i="1"/>
  <c r="I31" i="1"/>
  <c r="J31" i="1"/>
  <c r="K31" i="1"/>
  <c r="L31" i="1"/>
  <c r="M31" i="1"/>
  <c r="O31" i="1"/>
  <c r="P31" i="1"/>
  <c r="A32" i="1"/>
  <c r="B32" i="1"/>
  <c r="D32" i="1"/>
  <c r="E32" i="1"/>
  <c r="F32" i="1"/>
  <c r="G32" i="1"/>
  <c r="H32" i="1"/>
  <c r="I32" i="1"/>
  <c r="J32" i="1"/>
  <c r="K32" i="1"/>
  <c r="L32" i="1"/>
  <c r="M32" i="1"/>
  <c r="O32" i="1"/>
  <c r="P32" i="1"/>
  <c r="A33" i="1"/>
  <c r="B33" i="1"/>
  <c r="D33" i="1"/>
  <c r="E33" i="1"/>
  <c r="F33" i="1"/>
  <c r="G33" i="1"/>
  <c r="H33" i="1"/>
  <c r="I33" i="1"/>
  <c r="J33" i="1"/>
  <c r="K33" i="1"/>
  <c r="L33" i="1"/>
  <c r="M33" i="1"/>
  <c r="O33" i="1"/>
  <c r="P33" i="1"/>
  <c r="A34" i="1"/>
  <c r="B34" i="1"/>
  <c r="D34" i="1"/>
  <c r="E34" i="1"/>
  <c r="F34" i="1"/>
  <c r="G34" i="1"/>
  <c r="H34" i="1"/>
  <c r="I34" i="1"/>
  <c r="J34" i="1"/>
  <c r="K34" i="1"/>
  <c r="L34" i="1"/>
  <c r="M34" i="1"/>
  <c r="O34" i="1"/>
  <c r="P34" i="1"/>
  <c r="A35" i="1"/>
  <c r="B35" i="1"/>
  <c r="D35" i="1"/>
  <c r="E35" i="1"/>
  <c r="F35" i="1"/>
  <c r="G35" i="1"/>
  <c r="H35" i="1"/>
  <c r="I35" i="1"/>
  <c r="J35" i="1"/>
  <c r="K35" i="1"/>
  <c r="L35" i="1"/>
  <c r="M35" i="1"/>
  <c r="O35" i="1"/>
  <c r="P35" i="1"/>
  <c r="A36" i="1"/>
  <c r="B36" i="1"/>
  <c r="D36" i="1"/>
  <c r="E36" i="1"/>
  <c r="F36" i="1"/>
  <c r="G36" i="1"/>
  <c r="H36" i="1"/>
  <c r="I36" i="1"/>
  <c r="J36" i="1"/>
  <c r="K36" i="1"/>
  <c r="L36" i="1"/>
  <c r="M36" i="1"/>
  <c r="O36" i="1"/>
  <c r="P36" i="1"/>
  <c r="A37" i="1"/>
  <c r="B37" i="1"/>
  <c r="D37" i="1"/>
  <c r="E37" i="1"/>
  <c r="F37" i="1"/>
  <c r="G37" i="1"/>
  <c r="H37" i="1"/>
  <c r="I37" i="1"/>
  <c r="J37" i="1"/>
  <c r="K37" i="1"/>
  <c r="L37" i="1"/>
  <c r="M37" i="1"/>
  <c r="O37" i="1"/>
  <c r="P37" i="1"/>
  <c r="A38" i="1"/>
  <c r="B38" i="1"/>
  <c r="D38" i="1"/>
  <c r="E38" i="1"/>
  <c r="F38" i="1"/>
  <c r="G38" i="1"/>
  <c r="H38" i="1"/>
  <c r="I38" i="1"/>
  <c r="J38" i="1"/>
  <c r="K38" i="1"/>
  <c r="L38" i="1"/>
  <c r="M38" i="1"/>
  <c r="O38" i="1"/>
  <c r="P38" i="1"/>
  <c r="A39" i="1"/>
  <c r="B39" i="1"/>
  <c r="D39" i="1"/>
  <c r="E39" i="1"/>
  <c r="F39" i="1"/>
  <c r="G39" i="1"/>
  <c r="H39" i="1"/>
  <c r="I39" i="1"/>
  <c r="J39" i="1"/>
  <c r="K39" i="1"/>
  <c r="L39" i="1"/>
  <c r="M39" i="1"/>
  <c r="O39" i="1"/>
  <c r="P39" i="1"/>
  <c r="A40" i="1"/>
  <c r="B40" i="1"/>
  <c r="D40" i="1"/>
  <c r="E40" i="1"/>
  <c r="F40" i="1"/>
  <c r="G40" i="1"/>
  <c r="H40" i="1"/>
  <c r="I40" i="1"/>
  <c r="J40" i="1"/>
  <c r="K40" i="1"/>
  <c r="L40" i="1"/>
  <c r="M40" i="1"/>
  <c r="O40" i="1"/>
  <c r="P40" i="1"/>
  <c r="A41" i="1"/>
  <c r="B41" i="1"/>
  <c r="D41" i="1"/>
  <c r="E41" i="1"/>
  <c r="F41" i="1"/>
  <c r="G41" i="1"/>
  <c r="H41" i="1"/>
  <c r="I41" i="1"/>
  <c r="J41" i="1"/>
  <c r="K41" i="1"/>
  <c r="L41" i="1"/>
  <c r="M41" i="1"/>
  <c r="O41" i="1"/>
  <c r="P41" i="1"/>
  <c r="A42" i="1"/>
  <c r="B42" i="1"/>
  <c r="D42" i="1"/>
  <c r="E42" i="1"/>
  <c r="F42" i="1"/>
  <c r="G42" i="1"/>
  <c r="H42" i="1"/>
  <c r="I42" i="1"/>
  <c r="J42" i="1"/>
  <c r="K42" i="1"/>
  <c r="L42" i="1"/>
  <c r="M42" i="1"/>
  <c r="O42" i="1"/>
  <c r="P42" i="1"/>
  <c r="A43" i="1"/>
  <c r="B43" i="1"/>
  <c r="D43" i="1"/>
  <c r="E43" i="1"/>
  <c r="F43" i="1"/>
  <c r="G43" i="1"/>
  <c r="H43" i="1"/>
  <c r="I43" i="1"/>
  <c r="J43" i="1"/>
  <c r="K43" i="1"/>
  <c r="L43" i="1"/>
  <c r="M43" i="1"/>
  <c r="O43" i="1"/>
  <c r="P43" i="1"/>
  <c r="A44" i="1"/>
  <c r="B44" i="1"/>
  <c r="D44" i="1"/>
  <c r="E44" i="1"/>
  <c r="F44" i="1"/>
  <c r="G44" i="1"/>
  <c r="H44" i="1"/>
  <c r="I44" i="1"/>
  <c r="J44" i="1"/>
  <c r="K44" i="1"/>
  <c r="L44" i="1"/>
  <c r="M44" i="1"/>
  <c r="O44" i="1"/>
  <c r="P44" i="1"/>
  <c r="A45" i="1"/>
  <c r="B45" i="1"/>
  <c r="D45" i="1"/>
  <c r="E45" i="1"/>
  <c r="F45" i="1"/>
  <c r="G45" i="1"/>
  <c r="H45" i="1"/>
  <c r="I45" i="1"/>
  <c r="J45" i="1"/>
  <c r="K45" i="1"/>
  <c r="L45" i="1"/>
  <c r="M45" i="1"/>
  <c r="O45" i="1"/>
  <c r="P45" i="1"/>
  <c r="A46" i="1"/>
  <c r="B46" i="1"/>
  <c r="D46" i="1"/>
  <c r="E46" i="1"/>
  <c r="F46" i="1"/>
  <c r="G46" i="1"/>
  <c r="H46" i="1"/>
  <c r="I46" i="1"/>
  <c r="J46" i="1"/>
  <c r="K46" i="1"/>
  <c r="L46" i="1"/>
  <c r="M46" i="1"/>
  <c r="O46" i="1"/>
  <c r="P46" i="1"/>
  <c r="A47" i="1"/>
  <c r="B47" i="1"/>
  <c r="D47" i="1"/>
  <c r="E47" i="1"/>
  <c r="F47" i="1"/>
  <c r="G47" i="1"/>
  <c r="H47" i="1"/>
  <c r="I47" i="1"/>
  <c r="J47" i="1"/>
  <c r="K47" i="1"/>
  <c r="L47" i="1"/>
  <c r="M47" i="1"/>
  <c r="O47" i="1"/>
  <c r="P47" i="1"/>
  <c r="A48" i="1"/>
  <c r="B48" i="1"/>
  <c r="D48" i="1"/>
  <c r="E48" i="1"/>
  <c r="F48" i="1"/>
  <c r="G48" i="1"/>
  <c r="H48" i="1"/>
  <c r="I48" i="1"/>
  <c r="J48" i="1"/>
  <c r="K48" i="1"/>
  <c r="L48" i="1"/>
  <c r="M48" i="1"/>
  <c r="O48" i="1"/>
  <c r="P48" i="1"/>
  <c r="A49" i="1"/>
  <c r="B49" i="1"/>
  <c r="D49" i="1"/>
  <c r="E49" i="1"/>
  <c r="F49" i="1"/>
  <c r="G49" i="1"/>
  <c r="H49" i="1"/>
  <c r="I49" i="1"/>
  <c r="J49" i="1"/>
  <c r="K49" i="1"/>
  <c r="L49" i="1"/>
  <c r="M49" i="1"/>
  <c r="O49" i="1"/>
  <c r="P49" i="1"/>
  <c r="A50" i="1"/>
  <c r="B50" i="1"/>
  <c r="D50" i="1"/>
  <c r="E50" i="1"/>
  <c r="F50" i="1"/>
  <c r="G50" i="1"/>
  <c r="H50" i="1"/>
  <c r="I50" i="1"/>
  <c r="J50" i="1"/>
  <c r="K50" i="1"/>
  <c r="L50" i="1"/>
  <c r="M50" i="1"/>
  <c r="O50" i="1"/>
  <c r="P50" i="1"/>
  <c r="A51" i="1"/>
  <c r="B51" i="1"/>
  <c r="D51" i="1"/>
  <c r="E51" i="1"/>
  <c r="F51" i="1"/>
  <c r="G51" i="1"/>
  <c r="H51" i="1"/>
  <c r="I51" i="1"/>
  <c r="J51" i="1"/>
  <c r="K51" i="1"/>
  <c r="L51" i="1"/>
  <c r="M51" i="1"/>
  <c r="O51" i="1"/>
  <c r="P51" i="1"/>
  <c r="A52" i="1"/>
  <c r="B52" i="1"/>
  <c r="D52" i="1"/>
  <c r="E52" i="1"/>
  <c r="F52" i="1"/>
  <c r="G52" i="1"/>
  <c r="H52" i="1"/>
  <c r="I52" i="1"/>
  <c r="J52" i="1"/>
  <c r="K52" i="1"/>
  <c r="L52" i="1"/>
  <c r="M52" i="1"/>
  <c r="O52" i="1"/>
  <c r="P52" i="1"/>
  <c r="A53" i="1"/>
  <c r="B53" i="1"/>
  <c r="D53" i="1"/>
  <c r="E53" i="1"/>
  <c r="F53" i="1"/>
  <c r="G53" i="1"/>
  <c r="H53" i="1"/>
  <c r="I53" i="1"/>
  <c r="J53" i="1"/>
  <c r="K53" i="1"/>
  <c r="L53" i="1"/>
  <c r="M53" i="1"/>
  <c r="O53" i="1"/>
  <c r="P53" i="1"/>
  <c r="A54" i="1"/>
  <c r="B54" i="1"/>
  <c r="D54" i="1"/>
  <c r="E54" i="1"/>
  <c r="F54" i="1"/>
  <c r="G54" i="1"/>
  <c r="H54" i="1"/>
  <c r="I54" i="1"/>
  <c r="J54" i="1"/>
  <c r="K54" i="1"/>
  <c r="L54" i="1"/>
  <c r="M54" i="1"/>
  <c r="O54" i="1"/>
  <c r="P54" i="1"/>
  <c r="A55" i="1"/>
  <c r="B55" i="1"/>
  <c r="D55" i="1"/>
  <c r="E55" i="1"/>
  <c r="F55" i="1"/>
  <c r="G55" i="1"/>
  <c r="H55" i="1"/>
  <c r="I55" i="1"/>
  <c r="J55" i="1"/>
  <c r="K55" i="1"/>
  <c r="L55" i="1"/>
  <c r="M55" i="1"/>
  <c r="O55" i="1"/>
  <c r="P55" i="1"/>
  <c r="A56" i="1"/>
  <c r="B56" i="1"/>
  <c r="D56" i="1"/>
  <c r="E56" i="1"/>
  <c r="F56" i="1"/>
  <c r="G56" i="1"/>
  <c r="H56" i="1"/>
  <c r="I56" i="1"/>
  <c r="J56" i="1"/>
  <c r="K56" i="1"/>
  <c r="L56" i="1"/>
  <c r="M56" i="1"/>
  <c r="O56" i="1"/>
  <c r="P56" i="1"/>
  <c r="A57" i="1"/>
  <c r="B57" i="1"/>
  <c r="D57" i="1"/>
  <c r="E57" i="1"/>
  <c r="F57" i="1"/>
  <c r="G57" i="1"/>
  <c r="H57" i="1"/>
  <c r="I57" i="1"/>
  <c r="J57" i="1"/>
  <c r="K57" i="1"/>
  <c r="L57" i="1"/>
  <c r="M57" i="1"/>
  <c r="O57" i="1"/>
  <c r="P57" i="1"/>
  <c r="A58" i="1"/>
  <c r="B58" i="1"/>
  <c r="D58" i="1"/>
  <c r="E58" i="1"/>
  <c r="F58" i="1"/>
  <c r="G58" i="1"/>
  <c r="H58" i="1"/>
  <c r="I58" i="1"/>
  <c r="J58" i="1"/>
  <c r="K58" i="1"/>
  <c r="L58" i="1"/>
  <c r="M58" i="1"/>
  <c r="O58" i="1"/>
  <c r="P58" i="1"/>
  <c r="A59" i="1"/>
  <c r="B59" i="1"/>
  <c r="D59" i="1"/>
  <c r="E59" i="1"/>
  <c r="F59" i="1"/>
  <c r="G59" i="1"/>
  <c r="H59" i="1"/>
  <c r="I59" i="1"/>
  <c r="J59" i="1"/>
  <c r="K59" i="1"/>
  <c r="L59" i="1"/>
  <c r="M59" i="1"/>
  <c r="O59" i="1"/>
  <c r="P59" i="1"/>
  <c r="A60" i="1"/>
  <c r="B60" i="1"/>
  <c r="D60" i="1"/>
  <c r="E60" i="1"/>
  <c r="F60" i="1"/>
  <c r="G60" i="1"/>
  <c r="H60" i="1"/>
  <c r="I60" i="1"/>
  <c r="J60" i="1"/>
  <c r="K60" i="1"/>
  <c r="L60" i="1"/>
  <c r="M60" i="1"/>
  <c r="O60" i="1"/>
  <c r="P60" i="1"/>
  <c r="A61" i="1"/>
  <c r="B61" i="1"/>
  <c r="D61" i="1"/>
  <c r="E61" i="1"/>
  <c r="F61" i="1"/>
  <c r="G61" i="1"/>
  <c r="H61" i="1"/>
  <c r="I61" i="1"/>
  <c r="J61" i="1"/>
  <c r="K61" i="1"/>
  <c r="L61" i="1"/>
  <c r="M61" i="1"/>
  <c r="O61" i="1"/>
  <c r="P61" i="1"/>
  <c r="A62" i="1"/>
  <c r="B62" i="1"/>
  <c r="D62" i="1"/>
  <c r="E62" i="1"/>
  <c r="F62" i="1"/>
  <c r="G62" i="1"/>
  <c r="H62" i="1"/>
  <c r="I62" i="1"/>
  <c r="J62" i="1"/>
  <c r="K62" i="1"/>
  <c r="L62" i="1"/>
  <c r="M62" i="1"/>
  <c r="O62" i="1"/>
  <c r="P62" i="1"/>
  <c r="A63" i="1"/>
  <c r="B63" i="1"/>
  <c r="D63" i="1"/>
  <c r="E63" i="1"/>
  <c r="F63" i="1"/>
  <c r="G63" i="1"/>
  <c r="H63" i="1"/>
  <c r="I63" i="1"/>
  <c r="J63" i="1"/>
  <c r="K63" i="1"/>
  <c r="L63" i="1"/>
  <c r="M63" i="1"/>
  <c r="O63" i="1"/>
  <c r="P63" i="1"/>
  <c r="A64" i="1"/>
  <c r="B64" i="1"/>
  <c r="D64" i="1"/>
  <c r="E64" i="1"/>
  <c r="F64" i="1"/>
  <c r="G64" i="1"/>
  <c r="H64" i="1"/>
  <c r="I64" i="1"/>
  <c r="J64" i="1"/>
  <c r="K64" i="1"/>
  <c r="L64" i="1"/>
  <c r="M64" i="1"/>
  <c r="O64" i="1"/>
  <c r="P64" i="1"/>
  <c r="A65" i="1"/>
  <c r="B65" i="1"/>
  <c r="D65" i="1"/>
  <c r="E65" i="1"/>
  <c r="F65" i="1"/>
  <c r="G65" i="1"/>
  <c r="H65" i="1"/>
  <c r="I65" i="1"/>
  <c r="J65" i="1"/>
  <c r="K65" i="1"/>
  <c r="L65" i="1"/>
  <c r="M65" i="1"/>
  <c r="O65" i="1"/>
  <c r="P65" i="1"/>
  <c r="A66" i="1"/>
  <c r="B66" i="1"/>
  <c r="D66" i="1"/>
  <c r="E66" i="1"/>
  <c r="F66" i="1"/>
  <c r="G66" i="1"/>
  <c r="H66" i="1"/>
  <c r="I66" i="1"/>
  <c r="J66" i="1"/>
  <c r="K66" i="1"/>
  <c r="L66" i="1"/>
  <c r="M66" i="1"/>
  <c r="O66" i="1"/>
  <c r="P66" i="1"/>
  <c r="A67" i="1"/>
  <c r="B67" i="1"/>
  <c r="D67" i="1"/>
  <c r="E67" i="1"/>
  <c r="F67" i="1"/>
  <c r="G67" i="1"/>
  <c r="H67" i="1"/>
  <c r="I67" i="1"/>
  <c r="J67" i="1"/>
  <c r="K67" i="1"/>
  <c r="L67" i="1"/>
  <c r="M67" i="1"/>
  <c r="O67" i="1"/>
  <c r="P67" i="1"/>
  <c r="A68" i="1"/>
  <c r="B68" i="1"/>
  <c r="D68" i="1"/>
  <c r="E68" i="1"/>
  <c r="F68" i="1"/>
  <c r="G68" i="1"/>
  <c r="H68" i="1"/>
  <c r="I68" i="1"/>
  <c r="J68" i="1"/>
  <c r="K68" i="1"/>
  <c r="L68" i="1"/>
  <c r="M68" i="1"/>
  <c r="O68" i="1"/>
  <c r="P68" i="1"/>
  <c r="A69" i="1"/>
  <c r="B69" i="1"/>
  <c r="D69" i="1"/>
  <c r="E69" i="1"/>
  <c r="F69" i="1"/>
  <c r="G69" i="1"/>
  <c r="H69" i="1"/>
  <c r="I69" i="1"/>
  <c r="J69" i="1"/>
  <c r="K69" i="1"/>
  <c r="L69" i="1"/>
  <c r="M69" i="1"/>
  <c r="O69" i="1"/>
  <c r="P69" i="1"/>
  <c r="A70" i="1"/>
  <c r="B70" i="1"/>
  <c r="D70" i="1"/>
  <c r="E70" i="1"/>
  <c r="F70" i="1"/>
  <c r="G70" i="1"/>
  <c r="H70" i="1"/>
  <c r="I70" i="1"/>
  <c r="J70" i="1"/>
  <c r="K70" i="1"/>
  <c r="L70" i="1"/>
  <c r="M70" i="1"/>
  <c r="O70" i="1"/>
  <c r="P70" i="1"/>
  <c r="A71" i="1"/>
  <c r="B71" i="1"/>
  <c r="D71" i="1"/>
  <c r="E71" i="1"/>
  <c r="F71" i="1"/>
  <c r="G71" i="1"/>
  <c r="H71" i="1"/>
  <c r="I71" i="1"/>
  <c r="J71" i="1"/>
  <c r="K71" i="1"/>
  <c r="L71" i="1"/>
  <c r="M71" i="1"/>
  <c r="O71" i="1"/>
  <c r="P71" i="1"/>
  <c r="A72" i="1"/>
  <c r="B72" i="1"/>
  <c r="D72" i="1"/>
  <c r="E72" i="1"/>
  <c r="F72" i="1"/>
  <c r="G72" i="1"/>
  <c r="H72" i="1"/>
  <c r="I72" i="1"/>
  <c r="J72" i="1"/>
  <c r="K72" i="1"/>
  <c r="L72" i="1"/>
  <c r="M72" i="1"/>
  <c r="O72" i="1"/>
  <c r="P72" i="1"/>
  <c r="A73" i="1"/>
  <c r="B73" i="1"/>
  <c r="D73" i="1"/>
  <c r="E73" i="1"/>
  <c r="F73" i="1"/>
  <c r="G73" i="1"/>
  <c r="H73" i="1"/>
  <c r="I73" i="1"/>
  <c r="J73" i="1"/>
  <c r="K73" i="1"/>
  <c r="L73" i="1"/>
  <c r="M73" i="1"/>
  <c r="O73" i="1"/>
  <c r="P73" i="1"/>
  <c r="A74" i="1"/>
  <c r="B74" i="1"/>
  <c r="D74" i="1"/>
  <c r="E74" i="1"/>
  <c r="F74" i="1"/>
  <c r="G74" i="1"/>
  <c r="H74" i="1"/>
  <c r="I74" i="1"/>
  <c r="J74" i="1"/>
  <c r="K74" i="1"/>
  <c r="L74" i="1"/>
  <c r="M74" i="1"/>
  <c r="O74" i="1"/>
  <c r="P74" i="1"/>
  <c r="A75" i="1"/>
  <c r="B75" i="1"/>
  <c r="D75" i="1"/>
  <c r="E75" i="1"/>
  <c r="F75" i="1"/>
  <c r="G75" i="1"/>
  <c r="H75" i="1"/>
  <c r="I75" i="1"/>
  <c r="J75" i="1"/>
  <c r="K75" i="1"/>
  <c r="L75" i="1"/>
  <c r="M75" i="1"/>
  <c r="O75" i="1"/>
  <c r="P75" i="1"/>
  <c r="A76" i="1"/>
  <c r="B76" i="1"/>
  <c r="D76" i="1"/>
  <c r="E76" i="1"/>
  <c r="F76" i="1"/>
  <c r="G76" i="1"/>
  <c r="H76" i="1"/>
  <c r="I76" i="1"/>
  <c r="J76" i="1"/>
  <c r="K76" i="1"/>
  <c r="L76" i="1"/>
  <c r="M76" i="1"/>
  <c r="O76" i="1"/>
  <c r="P76" i="1"/>
  <c r="A77" i="1"/>
  <c r="B77" i="1"/>
  <c r="D77" i="1"/>
  <c r="E77" i="1"/>
  <c r="F77" i="1"/>
  <c r="G77" i="1"/>
  <c r="H77" i="1"/>
  <c r="I77" i="1"/>
  <c r="J77" i="1"/>
  <c r="K77" i="1"/>
  <c r="L77" i="1"/>
  <c r="M77" i="1"/>
  <c r="O77" i="1"/>
  <c r="P77" i="1"/>
  <c r="A78" i="1"/>
  <c r="B78" i="1"/>
  <c r="D78" i="1"/>
  <c r="E78" i="1"/>
  <c r="F78" i="1"/>
  <c r="G78" i="1"/>
  <c r="H78" i="1"/>
  <c r="I78" i="1"/>
  <c r="J78" i="1"/>
  <c r="K78" i="1"/>
  <c r="L78" i="1"/>
  <c r="M78" i="1"/>
  <c r="O78" i="1"/>
  <c r="P78" i="1"/>
  <c r="A79" i="1"/>
  <c r="B79" i="1"/>
  <c r="D79" i="1"/>
  <c r="E79" i="1"/>
  <c r="F79" i="1"/>
  <c r="G79" i="1"/>
  <c r="H79" i="1"/>
  <c r="I79" i="1"/>
  <c r="J79" i="1"/>
  <c r="K79" i="1"/>
  <c r="L79" i="1"/>
  <c r="M79" i="1"/>
  <c r="O79" i="1"/>
  <c r="P79" i="1"/>
  <c r="A80" i="1"/>
  <c r="B80" i="1"/>
  <c r="D80" i="1"/>
  <c r="E80" i="1"/>
  <c r="F80" i="1"/>
  <c r="G80" i="1"/>
  <c r="H80" i="1"/>
  <c r="I80" i="1"/>
  <c r="J80" i="1"/>
  <c r="K80" i="1"/>
  <c r="L80" i="1"/>
  <c r="M80" i="1"/>
  <c r="O80" i="1"/>
  <c r="P80" i="1"/>
  <c r="A81" i="1"/>
  <c r="B81" i="1"/>
  <c r="D81" i="1"/>
  <c r="E81" i="1"/>
  <c r="F81" i="1"/>
  <c r="G81" i="1"/>
  <c r="H81" i="1"/>
  <c r="I81" i="1"/>
  <c r="J81" i="1"/>
  <c r="K81" i="1"/>
  <c r="L81" i="1"/>
  <c r="M81" i="1"/>
  <c r="O81" i="1"/>
  <c r="P81" i="1"/>
  <c r="A82" i="1"/>
  <c r="B82" i="1"/>
  <c r="D82" i="1"/>
  <c r="E82" i="1"/>
  <c r="F82" i="1"/>
  <c r="G82" i="1"/>
  <c r="H82" i="1"/>
  <c r="I82" i="1"/>
  <c r="J82" i="1"/>
  <c r="K82" i="1"/>
  <c r="L82" i="1"/>
  <c r="M82" i="1"/>
  <c r="O82" i="1"/>
  <c r="P82" i="1"/>
  <c r="A83" i="1"/>
  <c r="B83" i="1"/>
  <c r="D83" i="1"/>
  <c r="E83" i="1"/>
  <c r="F83" i="1"/>
  <c r="G83" i="1"/>
  <c r="H83" i="1"/>
  <c r="I83" i="1"/>
  <c r="J83" i="1"/>
  <c r="K83" i="1"/>
  <c r="L83" i="1"/>
  <c r="M83" i="1"/>
  <c r="O83" i="1"/>
  <c r="P83" i="1"/>
  <c r="A84" i="1"/>
  <c r="B84" i="1"/>
  <c r="D84" i="1"/>
  <c r="E84" i="1"/>
  <c r="F84" i="1"/>
  <c r="G84" i="1"/>
  <c r="H84" i="1"/>
  <c r="I84" i="1"/>
  <c r="J84" i="1"/>
  <c r="K84" i="1"/>
  <c r="L84" i="1"/>
  <c r="M84" i="1"/>
  <c r="O84" i="1"/>
  <c r="P84" i="1"/>
  <c r="A85" i="1"/>
  <c r="B85" i="1"/>
  <c r="D85" i="1"/>
  <c r="E85" i="1"/>
  <c r="F85" i="1"/>
  <c r="G85" i="1"/>
  <c r="H85" i="1"/>
  <c r="I85" i="1"/>
  <c r="J85" i="1"/>
  <c r="K85" i="1"/>
  <c r="L85" i="1"/>
  <c r="M85" i="1"/>
  <c r="O85" i="1"/>
  <c r="P85" i="1"/>
  <c r="A86" i="1"/>
  <c r="B86" i="1"/>
  <c r="D86" i="1"/>
  <c r="E86" i="1"/>
  <c r="F86" i="1"/>
  <c r="G86" i="1"/>
  <c r="H86" i="1"/>
  <c r="I86" i="1"/>
  <c r="J86" i="1"/>
  <c r="K86" i="1"/>
  <c r="L86" i="1"/>
  <c r="M86" i="1"/>
  <c r="O86" i="1"/>
  <c r="P86" i="1"/>
  <c r="A87" i="1"/>
  <c r="B87" i="1"/>
  <c r="D87" i="1"/>
  <c r="E87" i="1"/>
  <c r="F87" i="1"/>
  <c r="G87" i="1"/>
  <c r="H87" i="1"/>
  <c r="I87" i="1"/>
  <c r="J87" i="1"/>
  <c r="K87" i="1"/>
  <c r="L87" i="1"/>
  <c r="M87" i="1"/>
  <c r="O87" i="1"/>
  <c r="P87" i="1"/>
  <c r="A88" i="1"/>
  <c r="B88" i="1"/>
  <c r="D88" i="1"/>
  <c r="E88" i="1"/>
  <c r="F88" i="1"/>
  <c r="G88" i="1"/>
  <c r="H88" i="1"/>
  <c r="I88" i="1"/>
  <c r="J88" i="1"/>
  <c r="K88" i="1"/>
  <c r="L88" i="1"/>
  <c r="M88" i="1"/>
  <c r="O88" i="1"/>
  <c r="P88" i="1"/>
  <c r="A89" i="1"/>
  <c r="B89" i="1"/>
  <c r="D89" i="1"/>
  <c r="E89" i="1"/>
  <c r="F89" i="1"/>
  <c r="G89" i="1"/>
  <c r="H89" i="1"/>
  <c r="I89" i="1"/>
  <c r="J89" i="1"/>
  <c r="K89" i="1"/>
  <c r="L89" i="1"/>
  <c r="M89" i="1"/>
  <c r="O89" i="1"/>
  <c r="P89" i="1"/>
  <c r="A90" i="1"/>
  <c r="B90" i="1"/>
  <c r="D90" i="1"/>
  <c r="E90" i="1"/>
  <c r="F90" i="1"/>
  <c r="G90" i="1"/>
  <c r="H90" i="1"/>
  <c r="I90" i="1"/>
  <c r="J90" i="1"/>
  <c r="K90" i="1"/>
  <c r="L90" i="1"/>
  <c r="M90" i="1"/>
  <c r="O90" i="1"/>
  <c r="P90" i="1"/>
  <c r="A91" i="1"/>
  <c r="B91" i="1"/>
  <c r="D91" i="1"/>
  <c r="E91" i="1"/>
  <c r="F91" i="1"/>
  <c r="G91" i="1"/>
  <c r="H91" i="1"/>
  <c r="I91" i="1"/>
  <c r="J91" i="1"/>
  <c r="K91" i="1"/>
  <c r="L91" i="1"/>
  <c r="M91" i="1"/>
  <c r="O91" i="1"/>
  <c r="P91" i="1"/>
  <c r="A92" i="1"/>
  <c r="B92" i="1"/>
  <c r="D92" i="1"/>
  <c r="E92" i="1"/>
  <c r="F92" i="1"/>
  <c r="G92" i="1"/>
  <c r="H92" i="1"/>
  <c r="I92" i="1"/>
  <c r="J92" i="1"/>
  <c r="K92" i="1"/>
  <c r="L92" i="1"/>
  <c r="M92" i="1"/>
  <c r="O92" i="1"/>
  <c r="P92" i="1"/>
  <c r="A93" i="1"/>
  <c r="B93" i="1"/>
  <c r="D93" i="1"/>
  <c r="E93" i="1"/>
  <c r="F93" i="1"/>
  <c r="G93" i="1"/>
  <c r="H93" i="1"/>
  <c r="I93" i="1"/>
  <c r="J93" i="1"/>
  <c r="K93" i="1"/>
  <c r="L93" i="1"/>
  <c r="M93" i="1"/>
  <c r="O93" i="1"/>
  <c r="P93" i="1"/>
  <c r="A94" i="1"/>
  <c r="B94" i="1"/>
  <c r="D94" i="1"/>
  <c r="E94" i="1"/>
  <c r="F94" i="1"/>
  <c r="G94" i="1"/>
  <c r="H94" i="1"/>
  <c r="I94" i="1"/>
  <c r="J94" i="1"/>
  <c r="K94" i="1"/>
  <c r="L94" i="1"/>
  <c r="M94" i="1"/>
  <c r="O94" i="1"/>
  <c r="P94" i="1"/>
  <c r="A95" i="1"/>
  <c r="B95" i="1"/>
  <c r="D95" i="1"/>
  <c r="E95" i="1"/>
  <c r="F95" i="1"/>
  <c r="G95" i="1"/>
  <c r="H95" i="1"/>
  <c r="I95" i="1"/>
  <c r="J95" i="1"/>
  <c r="K95" i="1"/>
  <c r="L95" i="1"/>
  <c r="M95" i="1"/>
  <c r="O95" i="1"/>
  <c r="P95" i="1"/>
  <c r="A96" i="1"/>
  <c r="B96" i="1"/>
  <c r="D96" i="1"/>
  <c r="E96" i="1"/>
  <c r="F96" i="1"/>
  <c r="G96" i="1"/>
  <c r="H96" i="1"/>
  <c r="I96" i="1"/>
  <c r="J96" i="1"/>
  <c r="K96" i="1"/>
  <c r="L96" i="1"/>
  <c r="M96" i="1"/>
  <c r="O96" i="1"/>
  <c r="P96" i="1"/>
  <c r="A97" i="1"/>
  <c r="B97" i="1"/>
  <c r="D97" i="1"/>
  <c r="E97" i="1"/>
  <c r="F97" i="1"/>
  <c r="G97" i="1"/>
  <c r="H97" i="1"/>
  <c r="I97" i="1"/>
  <c r="J97" i="1"/>
  <c r="K97" i="1"/>
  <c r="L97" i="1"/>
  <c r="M97" i="1"/>
  <c r="O97" i="1"/>
  <c r="P97" i="1"/>
  <c r="A98" i="1"/>
  <c r="B98" i="1"/>
  <c r="D98" i="1"/>
  <c r="E98" i="1"/>
  <c r="F98" i="1"/>
  <c r="G98" i="1"/>
  <c r="H98" i="1"/>
  <c r="I98" i="1"/>
  <c r="J98" i="1"/>
  <c r="K98" i="1"/>
  <c r="L98" i="1"/>
  <c r="M98" i="1"/>
  <c r="O98" i="1"/>
  <c r="P98" i="1"/>
  <c r="A99" i="1"/>
  <c r="B99" i="1"/>
  <c r="D99" i="1"/>
  <c r="E99" i="1"/>
  <c r="F99" i="1"/>
  <c r="G99" i="1"/>
  <c r="H99" i="1"/>
  <c r="I99" i="1"/>
  <c r="J99" i="1"/>
  <c r="K99" i="1"/>
  <c r="L99" i="1"/>
  <c r="M99" i="1"/>
  <c r="O99" i="1"/>
  <c r="P99" i="1"/>
  <c r="A100" i="1"/>
  <c r="B100" i="1"/>
  <c r="D100" i="1"/>
  <c r="E100" i="1"/>
  <c r="F100" i="1"/>
  <c r="G100" i="1"/>
  <c r="H100" i="1"/>
  <c r="I100" i="1"/>
  <c r="J100" i="1"/>
  <c r="K100" i="1"/>
  <c r="L100" i="1"/>
  <c r="M100" i="1"/>
  <c r="O100" i="1"/>
  <c r="P100" i="1"/>
  <c r="A101" i="1"/>
  <c r="B101" i="1"/>
  <c r="D101" i="1"/>
  <c r="E101" i="1"/>
  <c r="F101" i="1"/>
  <c r="G101" i="1"/>
  <c r="H101" i="1"/>
  <c r="I101" i="1"/>
  <c r="J101" i="1"/>
  <c r="K101" i="1"/>
  <c r="L101" i="1"/>
  <c r="M101" i="1"/>
  <c r="O101" i="1"/>
  <c r="P101" i="1"/>
  <c r="A102" i="1"/>
  <c r="B102" i="1"/>
  <c r="D102" i="1"/>
  <c r="E102" i="1"/>
  <c r="F102" i="1"/>
  <c r="G102" i="1"/>
  <c r="H102" i="1"/>
  <c r="I102" i="1"/>
  <c r="J102" i="1"/>
  <c r="K102" i="1"/>
  <c r="L102" i="1"/>
  <c r="M102" i="1"/>
  <c r="O102" i="1"/>
  <c r="P102" i="1"/>
  <c r="A103" i="1"/>
  <c r="B103" i="1"/>
  <c r="D103" i="1"/>
  <c r="E103" i="1"/>
  <c r="F103" i="1"/>
  <c r="G103" i="1"/>
  <c r="H103" i="1"/>
  <c r="I103" i="1"/>
  <c r="J103" i="1"/>
  <c r="K103" i="1"/>
  <c r="L103" i="1"/>
  <c r="M103" i="1"/>
  <c r="O103" i="1"/>
  <c r="P103" i="1"/>
  <c r="A104" i="1"/>
  <c r="B104" i="1"/>
  <c r="D104" i="1"/>
  <c r="E104" i="1"/>
  <c r="F104" i="1"/>
  <c r="G104" i="1"/>
  <c r="H104" i="1"/>
  <c r="I104" i="1"/>
  <c r="J104" i="1"/>
  <c r="K104" i="1"/>
  <c r="L104" i="1"/>
  <c r="M104" i="1"/>
  <c r="O104" i="1"/>
  <c r="P104" i="1"/>
  <c r="A105" i="1"/>
  <c r="B105" i="1"/>
  <c r="D105" i="1"/>
  <c r="E105" i="1"/>
  <c r="F105" i="1"/>
  <c r="G105" i="1"/>
  <c r="H105" i="1"/>
  <c r="I105" i="1"/>
  <c r="J105" i="1"/>
  <c r="K105" i="1"/>
  <c r="L105" i="1"/>
  <c r="M105" i="1"/>
  <c r="O105" i="1"/>
  <c r="P105" i="1"/>
  <c r="A106" i="1"/>
  <c r="B106" i="1"/>
  <c r="D106" i="1"/>
  <c r="E106" i="1"/>
  <c r="F106" i="1"/>
  <c r="G106" i="1"/>
  <c r="H106" i="1"/>
  <c r="I106" i="1"/>
  <c r="J106" i="1"/>
  <c r="K106" i="1"/>
  <c r="L106" i="1"/>
  <c r="M106" i="1"/>
  <c r="O106" i="1"/>
  <c r="P106" i="1"/>
  <c r="A107" i="1"/>
  <c r="B107" i="1"/>
  <c r="D107" i="1"/>
  <c r="E107" i="1"/>
  <c r="F107" i="1"/>
  <c r="G107" i="1"/>
  <c r="H107" i="1"/>
  <c r="I107" i="1"/>
  <c r="J107" i="1"/>
  <c r="K107" i="1"/>
  <c r="L107" i="1"/>
  <c r="M107" i="1"/>
  <c r="O107" i="1"/>
  <c r="P107" i="1"/>
  <c r="A108" i="1"/>
  <c r="B108" i="1"/>
  <c r="D108" i="1"/>
  <c r="E108" i="1"/>
  <c r="F108" i="1"/>
  <c r="G108" i="1"/>
  <c r="H108" i="1"/>
  <c r="I108" i="1"/>
  <c r="J108" i="1"/>
  <c r="K108" i="1"/>
  <c r="L108" i="1"/>
  <c r="M108" i="1"/>
  <c r="O108" i="1"/>
  <c r="P108" i="1"/>
  <c r="A109" i="1"/>
  <c r="B109" i="1"/>
  <c r="D109" i="1"/>
  <c r="E109" i="1"/>
  <c r="F109" i="1"/>
  <c r="G109" i="1"/>
  <c r="H109" i="1"/>
  <c r="I109" i="1"/>
  <c r="J109" i="1"/>
  <c r="K109" i="1"/>
  <c r="L109" i="1"/>
  <c r="M109" i="1"/>
  <c r="O109" i="1"/>
  <c r="P109" i="1"/>
  <c r="A110" i="1"/>
  <c r="B110" i="1"/>
  <c r="D110" i="1"/>
  <c r="E110" i="1"/>
  <c r="F110" i="1"/>
  <c r="G110" i="1"/>
  <c r="H110" i="1"/>
  <c r="I110" i="1"/>
  <c r="J110" i="1"/>
  <c r="K110" i="1"/>
  <c r="L110" i="1"/>
  <c r="M110" i="1"/>
  <c r="O110" i="1"/>
  <c r="P110" i="1"/>
  <c r="A111" i="1"/>
  <c r="B111" i="1"/>
  <c r="D111" i="1"/>
  <c r="E111" i="1"/>
  <c r="F111" i="1"/>
  <c r="G111" i="1"/>
  <c r="H111" i="1"/>
  <c r="I111" i="1"/>
  <c r="J111" i="1"/>
  <c r="K111" i="1"/>
  <c r="L111" i="1"/>
  <c r="M111" i="1"/>
  <c r="O111" i="1"/>
  <c r="P111" i="1"/>
  <c r="A112" i="1"/>
  <c r="B112" i="1"/>
  <c r="D112" i="1"/>
  <c r="E112" i="1"/>
  <c r="F112" i="1"/>
  <c r="G112" i="1"/>
  <c r="H112" i="1"/>
  <c r="I112" i="1"/>
  <c r="J112" i="1"/>
  <c r="K112" i="1"/>
  <c r="L112" i="1"/>
  <c r="M112" i="1"/>
  <c r="O112" i="1"/>
  <c r="P112" i="1"/>
  <c r="A113" i="1"/>
  <c r="B113" i="1"/>
  <c r="D113" i="1"/>
  <c r="E113" i="1"/>
  <c r="F113" i="1"/>
  <c r="G113" i="1"/>
  <c r="H113" i="1"/>
  <c r="I113" i="1"/>
  <c r="J113" i="1"/>
  <c r="K113" i="1"/>
  <c r="L113" i="1"/>
  <c r="M113" i="1"/>
  <c r="O113" i="1"/>
  <c r="P113" i="1"/>
  <c r="A114" i="1"/>
  <c r="B114" i="1"/>
  <c r="D114" i="1"/>
  <c r="E114" i="1"/>
  <c r="F114" i="1"/>
  <c r="G114" i="1"/>
  <c r="H114" i="1"/>
  <c r="I114" i="1"/>
  <c r="J114" i="1"/>
  <c r="K114" i="1"/>
  <c r="L114" i="1"/>
  <c r="M114" i="1"/>
  <c r="O114" i="1"/>
  <c r="P114" i="1"/>
  <c r="A115" i="1"/>
  <c r="B115" i="1"/>
  <c r="D115" i="1"/>
  <c r="E115" i="1"/>
  <c r="F115" i="1"/>
  <c r="G115" i="1"/>
  <c r="H115" i="1"/>
  <c r="I115" i="1"/>
  <c r="J115" i="1"/>
  <c r="K115" i="1"/>
  <c r="L115" i="1"/>
  <c r="M115" i="1"/>
  <c r="O115" i="1"/>
  <c r="P115" i="1"/>
  <c r="A116" i="1"/>
  <c r="B116" i="1"/>
  <c r="D116" i="1"/>
  <c r="E116" i="1"/>
  <c r="F116" i="1"/>
  <c r="G116" i="1"/>
  <c r="H116" i="1"/>
  <c r="I116" i="1"/>
  <c r="J116" i="1"/>
  <c r="K116" i="1"/>
  <c r="L116" i="1"/>
  <c r="M116" i="1"/>
  <c r="O116" i="1"/>
  <c r="P116" i="1"/>
  <c r="A117" i="1"/>
  <c r="B117" i="1"/>
  <c r="D117" i="1"/>
  <c r="E117" i="1"/>
  <c r="F117" i="1"/>
  <c r="G117" i="1"/>
  <c r="H117" i="1"/>
  <c r="I117" i="1"/>
  <c r="J117" i="1"/>
  <c r="K117" i="1"/>
  <c r="L117" i="1"/>
  <c r="M117" i="1"/>
  <c r="O117" i="1"/>
  <c r="P117" i="1"/>
  <c r="A118" i="1"/>
  <c r="B118" i="1"/>
  <c r="D118" i="1"/>
  <c r="E118" i="1"/>
  <c r="F118" i="1"/>
  <c r="G118" i="1"/>
  <c r="H118" i="1"/>
  <c r="I118" i="1"/>
  <c r="J118" i="1"/>
  <c r="K118" i="1"/>
  <c r="L118" i="1"/>
  <c r="M118" i="1"/>
  <c r="O118" i="1"/>
  <c r="P118" i="1"/>
  <c r="A119" i="1"/>
  <c r="B119" i="1"/>
  <c r="D119" i="1"/>
  <c r="E119" i="1"/>
  <c r="F119" i="1"/>
  <c r="G119" i="1"/>
  <c r="H119" i="1"/>
  <c r="I119" i="1"/>
  <c r="J119" i="1"/>
  <c r="K119" i="1"/>
  <c r="L119" i="1"/>
  <c r="M119" i="1"/>
  <c r="O119" i="1"/>
  <c r="P119" i="1"/>
  <c r="A120" i="1"/>
  <c r="B120" i="1"/>
  <c r="D120" i="1"/>
  <c r="E120" i="1"/>
  <c r="F120" i="1"/>
  <c r="G120" i="1"/>
  <c r="H120" i="1"/>
  <c r="I120" i="1"/>
  <c r="J120" i="1"/>
  <c r="K120" i="1"/>
  <c r="L120" i="1"/>
  <c r="M120" i="1"/>
  <c r="O120" i="1"/>
  <c r="P120" i="1"/>
  <c r="A121" i="1"/>
  <c r="B121" i="1"/>
  <c r="D121" i="1"/>
  <c r="E121" i="1"/>
  <c r="F121" i="1"/>
  <c r="G121" i="1"/>
  <c r="H121" i="1"/>
  <c r="I121" i="1"/>
  <c r="J121" i="1"/>
  <c r="K121" i="1"/>
  <c r="L121" i="1"/>
  <c r="M121" i="1"/>
  <c r="O121" i="1"/>
  <c r="P121" i="1"/>
  <c r="A122" i="1"/>
  <c r="B122" i="1"/>
  <c r="D122" i="1"/>
  <c r="E122" i="1"/>
  <c r="F122" i="1"/>
  <c r="G122" i="1"/>
  <c r="H122" i="1"/>
  <c r="I122" i="1"/>
  <c r="J122" i="1"/>
  <c r="K122" i="1"/>
  <c r="L122" i="1"/>
  <c r="M122" i="1"/>
  <c r="O122" i="1"/>
  <c r="P122" i="1"/>
  <c r="A123" i="1"/>
  <c r="B123" i="1"/>
  <c r="D123" i="1"/>
  <c r="E123" i="1"/>
  <c r="F123" i="1"/>
  <c r="G123" i="1"/>
  <c r="H123" i="1"/>
  <c r="I123" i="1"/>
  <c r="J123" i="1"/>
  <c r="K123" i="1"/>
  <c r="L123" i="1"/>
  <c r="M123" i="1"/>
  <c r="O123" i="1"/>
  <c r="P123" i="1"/>
  <c r="A124" i="1"/>
  <c r="B124" i="1"/>
  <c r="D124" i="1"/>
  <c r="E124" i="1"/>
  <c r="F124" i="1"/>
  <c r="G124" i="1"/>
  <c r="H124" i="1"/>
  <c r="I124" i="1"/>
  <c r="J124" i="1"/>
  <c r="K124" i="1"/>
  <c r="L124" i="1"/>
  <c r="M124" i="1"/>
  <c r="O124" i="1"/>
  <c r="P124" i="1"/>
  <c r="A125" i="1"/>
  <c r="B125" i="1"/>
  <c r="D125" i="1"/>
  <c r="E125" i="1"/>
  <c r="F125" i="1"/>
  <c r="G125" i="1"/>
  <c r="H125" i="1"/>
  <c r="I125" i="1"/>
  <c r="J125" i="1"/>
  <c r="K125" i="1"/>
  <c r="L125" i="1"/>
  <c r="M125" i="1"/>
  <c r="O125" i="1"/>
  <c r="P125" i="1"/>
  <c r="A126" i="1"/>
  <c r="B126" i="1"/>
  <c r="D126" i="1"/>
  <c r="E126" i="1"/>
  <c r="F126" i="1"/>
  <c r="G126" i="1"/>
  <c r="H126" i="1"/>
  <c r="I126" i="1"/>
  <c r="J126" i="1"/>
  <c r="K126" i="1"/>
  <c r="L126" i="1"/>
  <c r="M126" i="1"/>
  <c r="O126" i="1"/>
  <c r="P126" i="1"/>
  <c r="A127" i="1"/>
  <c r="B127" i="1"/>
  <c r="D127" i="1"/>
  <c r="E127" i="1"/>
  <c r="F127" i="1"/>
  <c r="G127" i="1"/>
  <c r="H127" i="1"/>
  <c r="I127" i="1"/>
  <c r="J127" i="1"/>
  <c r="K127" i="1"/>
  <c r="L127" i="1"/>
  <c r="M127" i="1"/>
  <c r="O127" i="1"/>
  <c r="P127" i="1"/>
  <c r="A128" i="1"/>
  <c r="B128" i="1"/>
  <c r="D128" i="1"/>
  <c r="E128" i="1"/>
  <c r="F128" i="1"/>
  <c r="G128" i="1"/>
  <c r="H128" i="1"/>
  <c r="I128" i="1"/>
  <c r="J128" i="1"/>
  <c r="K128" i="1"/>
  <c r="L128" i="1"/>
  <c r="M128" i="1"/>
  <c r="O128" i="1"/>
  <c r="P128" i="1"/>
  <c r="A129" i="1"/>
  <c r="B129" i="1"/>
  <c r="D129" i="1"/>
  <c r="E129" i="1"/>
  <c r="F129" i="1"/>
  <c r="G129" i="1"/>
  <c r="H129" i="1"/>
  <c r="I129" i="1"/>
  <c r="J129" i="1"/>
  <c r="K129" i="1"/>
  <c r="L129" i="1"/>
  <c r="M129" i="1"/>
  <c r="O129" i="1"/>
  <c r="P129" i="1"/>
  <c r="A130" i="1"/>
  <c r="B130" i="1"/>
  <c r="D130" i="1"/>
  <c r="E130" i="1"/>
  <c r="F130" i="1"/>
  <c r="G130" i="1"/>
  <c r="H130" i="1"/>
  <c r="I130" i="1"/>
  <c r="J130" i="1"/>
  <c r="K130" i="1"/>
  <c r="L130" i="1"/>
  <c r="M130" i="1"/>
  <c r="O130" i="1"/>
  <c r="P130" i="1"/>
  <c r="A131" i="1"/>
  <c r="B131" i="1"/>
  <c r="D131" i="1"/>
  <c r="E131" i="1"/>
  <c r="F131" i="1"/>
  <c r="G131" i="1"/>
  <c r="H131" i="1"/>
  <c r="I131" i="1"/>
  <c r="J131" i="1"/>
  <c r="K131" i="1"/>
  <c r="L131" i="1"/>
  <c r="M131" i="1"/>
  <c r="O131" i="1"/>
  <c r="P131" i="1"/>
  <c r="A132" i="1"/>
  <c r="B132" i="1"/>
  <c r="D132" i="1"/>
  <c r="E132" i="1"/>
  <c r="F132" i="1"/>
  <c r="G132" i="1"/>
  <c r="H132" i="1"/>
  <c r="I132" i="1"/>
  <c r="J132" i="1"/>
  <c r="K132" i="1"/>
  <c r="L132" i="1"/>
  <c r="M132" i="1"/>
  <c r="O132" i="1"/>
  <c r="P132" i="1"/>
  <c r="A133" i="1"/>
  <c r="B133" i="1"/>
  <c r="D133" i="1"/>
  <c r="E133" i="1"/>
  <c r="F133" i="1"/>
  <c r="G133" i="1"/>
  <c r="H133" i="1"/>
  <c r="I133" i="1"/>
  <c r="J133" i="1"/>
  <c r="K133" i="1"/>
  <c r="L133" i="1"/>
  <c r="M133" i="1"/>
  <c r="O133" i="1"/>
  <c r="P133" i="1"/>
  <c r="A134" i="1"/>
  <c r="B134" i="1"/>
  <c r="D134" i="1"/>
  <c r="E134" i="1"/>
  <c r="F134" i="1"/>
  <c r="G134" i="1"/>
  <c r="H134" i="1"/>
  <c r="I134" i="1"/>
  <c r="J134" i="1"/>
  <c r="K134" i="1"/>
  <c r="L134" i="1"/>
  <c r="M134" i="1"/>
  <c r="O134" i="1"/>
  <c r="P134" i="1"/>
  <c r="A135" i="1"/>
  <c r="B135" i="1"/>
  <c r="D135" i="1"/>
  <c r="E135" i="1"/>
  <c r="F135" i="1"/>
  <c r="G135" i="1"/>
  <c r="H135" i="1"/>
  <c r="I135" i="1"/>
  <c r="J135" i="1"/>
  <c r="K135" i="1"/>
  <c r="L135" i="1"/>
  <c r="M135" i="1"/>
  <c r="O135" i="1"/>
  <c r="P135" i="1"/>
  <c r="A136" i="1"/>
  <c r="B136" i="1"/>
  <c r="D136" i="1"/>
  <c r="E136" i="1"/>
  <c r="F136" i="1"/>
  <c r="G136" i="1"/>
  <c r="H136" i="1"/>
  <c r="I136" i="1"/>
  <c r="J136" i="1"/>
  <c r="K136" i="1"/>
  <c r="L136" i="1"/>
  <c r="M136" i="1"/>
  <c r="O136" i="1"/>
  <c r="P136" i="1"/>
  <c r="A137" i="1"/>
  <c r="B137" i="1"/>
  <c r="D137" i="1"/>
  <c r="E137" i="1"/>
  <c r="F137" i="1"/>
  <c r="G137" i="1"/>
  <c r="H137" i="1"/>
  <c r="I137" i="1"/>
  <c r="J137" i="1"/>
  <c r="K137" i="1"/>
  <c r="L137" i="1"/>
  <c r="M137" i="1"/>
  <c r="O137" i="1"/>
  <c r="P137" i="1"/>
  <c r="A138" i="1"/>
  <c r="B138" i="1"/>
  <c r="D138" i="1"/>
  <c r="E138" i="1"/>
  <c r="F138" i="1"/>
  <c r="G138" i="1"/>
  <c r="H138" i="1"/>
  <c r="I138" i="1"/>
  <c r="J138" i="1"/>
  <c r="K138" i="1"/>
  <c r="L138" i="1"/>
  <c r="M138" i="1"/>
  <c r="O138" i="1"/>
  <c r="P138" i="1"/>
  <c r="A139" i="1"/>
  <c r="B139" i="1"/>
  <c r="D139" i="1"/>
  <c r="E139" i="1"/>
  <c r="F139" i="1"/>
  <c r="G139" i="1"/>
  <c r="H139" i="1"/>
  <c r="I139" i="1"/>
  <c r="J139" i="1"/>
  <c r="K139" i="1"/>
  <c r="L139" i="1"/>
  <c r="M139" i="1"/>
  <c r="O139" i="1"/>
  <c r="P139" i="1"/>
  <c r="A140" i="1"/>
  <c r="B140" i="1"/>
  <c r="D140" i="1"/>
  <c r="E140" i="1"/>
  <c r="F140" i="1"/>
  <c r="G140" i="1"/>
  <c r="H140" i="1"/>
  <c r="I140" i="1"/>
  <c r="J140" i="1"/>
  <c r="K140" i="1"/>
  <c r="L140" i="1"/>
  <c r="M140" i="1"/>
  <c r="O140" i="1"/>
  <c r="P140" i="1"/>
  <c r="A141" i="1"/>
  <c r="B141" i="1"/>
  <c r="D141" i="1"/>
  <c r="E141" i="1"/>
  <c r="F141" i="1"/>
  <c r="G141" i="1"/>
  <c r="H141" i="1"/>
  <c r="I141" i="1"/>
  <c r="J141" i="1"/>
  <c r="K141" i="1"/>
  <c r="L141" i="1"/>
  <c r="M141" i="1"/>
  <c r="O141" i="1"/>
  <c r="P141" i="1"/>
  <c r="A142" i="1"/>
  <c r="B142" i="1"/>
  <c r="D142" i="1"/>
  <c r="E142" i="1"/>
  <c r="F142" i="1"/>
  <c r="G142" i="1"/>
  <c r="H142" i="1"/>
  <c r="I142" i="1"/>
  <c r="J142" i="1"/>
  <c r="K142" i="1"/>
  <c r="L142" i="1"/>
  <c r="M142" i="1"/>
  <c r="O142" i="1"/>
  <c r="P142" i="1"/>
  <c r="A143" i="1"/>
  <c r="B143" i="1"/>
  <c r="D143" i="1"/>
  <c r="E143" i="1"/>
  <c r="F143" i="1"/>
  <c r="G143" i="1"/>
  <c r="H143" i="1"/>
  <c r="I143" i="1"/>
  <c r="J143" i="1"/>
  <c r="K143" i="1"/>
  <c r="L143" i="1"/>
  <c r="M143" i="1"/>
  <c r="O143" i="1"/>
  <c r="P143" i="1"/>
  <c r="A144" i="1"/>
  <c r="B144" i="1"/>
  <c r="D144" i="1"/>
  <c r="E144" i="1"/>
  <c r="F144" i="1"/>
  <c r="G144" i="1"/>
  <c r="H144" i="1"/>
  <c r="I144" i="1"/>
  <c r="J144" i="1"/>
  <c r="K144" i="1"/>
  <c r="L144" i="1"/>
  <c r="M144" i="1"/>
  <c r="O144" i="1"/>
  <c r="P144" i="1"/>
  <c r="A145" i="1"/>
  <c r="B145" i="1"/>
  <c r="D145" i="1"/>
  <c r="E145" i="1"/>
  <c r="F145" i="1"/>
  <c r="G145" i="1"/>
  <c r="H145" i="1"/>
  <c r="I145" i="1"/>
  <c r="J145" i="1"/>
  <c r="K145" i="1"/>
  <c r="L145" i="1"/>
  <c r="M145" i="1"/>
  <c r="O145" i="1"/>
  <c r="P145" i="1"/>
  <c r="A146" i="1"/>
  <c r="B146" i="1"/>
  <c r="D146" i="1"/>
  <c r="E146" i="1"/>
  <c r="F146" i="1"/>
  <c r="G146" i="1"/>
  <c r="H146" i="1"/>
  <c r="I146" i="1"/>
  <c r="J146" i="1"/>
  <c r="K146" i="1"/>
  <c r="L146" i="1"/>
  <c r="M146" i="1"/>
  <c r="O146" i="1"/>
  <c r="P146" i="1"/>
  <c r="A147" i="1"/>
  <c r="B147" i="1"/>
  <c r="D147" i="1"/>
  <c r="E147" i="1"/>
  <c r="F147" i="1"/>
  <c r="G147" i="1"/>
  <c r="H147" i="1"/>
  <c r="I147" i="1"/>
  <c r="J147" i="1"/>
  <c r="K147" i="1"/>
  <c r="L147" i="1"/>
  <c r="M147" i="1"/>
  <c r="O147" i="1"/>
  <c r="P147" i="1"/>
  <c r="A148" i="1"/>
  <c r="B148" i="1"/>
  <c r="D148" i="1"/>
  <c r="E148" i="1"/>
  <c r="F148" i="1"/>
  <c r="G148" i="1"/>
  <c r="H148" i="1"/>
  <c r="I148" i="1"/>
  <c r="J148" i="1"/>
  <c r="K148" i="1"/>
  <c r="L148" i="1"/>
  <c r="M148" i="1"/>
  <c r="O148" i="1"/>
  <c r="P148" i="1"/>
  <c r="A149" i="1"/>
  <c r="B149" i="1"/>
  <c r="D149" i="1"/>
  <c r="E149" i="1"/>
  <c r="F149" i="1"/>
  <c r="G149" i="1"/>
  <c r="H149" i="1"/>
  <c r="I149" i="1"/>
  <c r="J149" i="1"/>
  <c r="K149" i="1"/>
  <c r="L149" i="1"/>
  <c r="M149" i="1"/>
  <c r="O149" i="1"/>
  <c r="P149" i="1"/>
  <c r="A150" i="1"/>
  <c r="B150" i="1"/>
  <c r="D150" i="1"/>
  <c r="E150" i="1"/>
  <c r="F150" i="1"/>
  <c r="G150" i="1"/>
  <c r="H150" i="1"/>
  <c r="I150" i="1"/>
  <c r="J150" i="1"/>
  <c r="K150" i="1"/>
  <c r="L150" i="1"/>
  <c r="M150" i="1"/>
  <c r="O150" i="1"/>
  <c r="P150" i="1"/>
  <c r="A151" i="1"/>
  <c r="B151" i="1"/>
  <c r="D151" i="1"/>
  <c r="E151" i="1"/>
  <c r="F151" i="1"/>
  <c r="G151" i="1"/>
  <c r="H151" i="1"/>
  <c r="I151" i="1"/>
  <c r="J151" i="1"/>
  <c r="K151" i="1"/>
  <c r="L151" i="1"/>
  <c r="M151" i="1"/>
  <c r="O151" i="1"/>
  <c r="P151" i="1"/>
  <c r="A152" i="1"/>
  <c r="B152" i="1"/>
  <c r="D152" i="1"/>
  <c r="E152" i="1"/>
  <c r="F152" i="1"/>
  <c r="G152" i="1"/>
  <c r="H152" i="1"/>
  <c r="I152" i="1"/>
  <c r="J152" i="1"/>
  <c r="K152" i="1"/>
  <c r="L152" i="1"/>
  <c r="M152" i="1"/>
  <c r="O152" i="1"/>
  <c r="P152" i="1"/>
  <c r="A153" i="1"/>
  <c r="B153" i="1"/>
  <c r="D153" i="1"/>
  <c r="E153" i="1"/>
  <c r="F153" i="1"/>
  <c r="G153" i="1"/>
  <c r="H153" i="1"/>
  <c r="I153" i="1"/>
  <c r="J153" i="1"/>
  <c r="K153" i="1"/>
  <c r="L153" i="1"/>
  <c r="M153" i="1"/>
  <c r="O153" i="1"/>
  <c r="P153" i="1"/>
  <c r="A154" i="1"/>
  <c r="B154" i="1"/>
  <c r="D154" i="1"/>
  <c r="E154" i="1"/>
  <c r="F154" i="1"/>
  <c r="G154" i="1"/>
  <c r="H154" i="1"/>
  <c r="I154" i="1"/>
  <c r="J154" i="1"/>
  <c r="K154" i="1"/>
  <c r="L154" i="1"/>
  <c r="M154" i="1"/>
  <c r="O154" i="1"/>
  <c r="P154" i="1"/>
  <c r="A155" i="1"/>
  <c r="B155" i="1"/>
  <c r="D155" i="1"/>
  <c r="E155" i="1"/>
  <c r="F155" i="1"/>
  <c r="G155" i="1"/>
  <c r="H155" i="1"/>
  <c r="I155" i="1"/>
  <c r="J155" i="1"/>
  <c r="K155" i="1"/>
  <c r="L155" i="1"/>
  <c r="M155" i="1"/>
  <c r="O155" i="1"/>
  <c r="P155" i="1"/>
  <c r="A156" i="1"/>
  <c r="B156" i="1"/>
  <c r="D156" i="1"/>
  <c r="E156" i="1"/>
  <c r="F156" i="1"/>
  <c r="G156" i="1"/>
  <c r="H156" i="1"/>
  <c r="I156" i="1"/>
  <c r="J156" i="1"/>
  <c r="K156" i="1"/>
  <c r="L156" i="1"/>
  <c r="M156" i="1"/>
  <c r="O156" i="1"/>
  <c r="P156" i="1"/>
  <c r="A157" i="1"/>
  <c r="B157" i="1"/>
  <c r="D157" i="1"/>
  <c r="E157" i="1"/>
  <c r="F157" i="1"/>
  <c r="G157" i="1"/>
  <c r="H157" i="1"/>
  <c r="I157" i="1"/>
  <c r="J157" i="1"/>
  <c r="K157" i="1"/>
  <c r="L157" i="1"/>
  <c r="M157" i="1"/>
  <c r="O157" i="1"/>
  <c r="P157" i="1"/>
  <c r="A158" i="1"/>
  <c r="B158" i="1"/>
  <c r="D158" i="1"/>
  <c r="E158" i="1"/>
  <c r="F158" i="1"/>
  <c r="G158" i="1"/>
  <c r="H158" i="1"/>
  <c r="I158" i="1"/>
  <c r="J158" i="1"/>
  <c r="K158" i="1"/>
  <c r="L158" i="1"/>
  <c r="M158" i="1"/>
  <c r="O158" i="1"/>
  <c r="P158" i="1"/>
  <c r="A159" i="1"/>
  <c r="B159" i="1"/>
  <c r="D159" i="1"/>
  <c r="E159" i="1"/>
  <c r="F159" i="1"/>
  <c r="G159" i="1"/>
  <c r="H159" i="1"/>
  <c r="I159" i="1"/>
  <c r="J159" i="1"/>
  <c r="K159" i="1"/>
  <c r="L159" i="1"/>
  <c r="M159" i="1"/>
  <c r="O159" i="1"/>
  <c r="P159" i="1"/>
  <c r="A160" i="1"/>
  <c r="B160" i="1"/>
  <c r="D160" i="1"/>
  <c r="E160" i="1"/>
  <c r="F160" i="1"/>
  <c r="G160" i="1"/>
  <c r="H160" i="1"/>
  <c r="I160" i="1"/>
  <c r="J160" i="1"/>
  <c r="K160" i="1"/>
  <c r="L160" i="1"/>
  <c r="M160" i="1"/>
  <c r="O160" i="1"/>
  <c r="P160" i="1"/>
  <c r="A161" i="1"/>
  <c r="B161" i="1"/>
  <c r="D161" i="1"/>
  <c r="E161" i="1"/>
  <c r="F161" i="1"/>
  <c r="G161" i="1"/>
  <c r="H161" i="1"/>
  <c r="I161" i="1"/>
  <c r="J161" i="1"/>
  <c r="K161" i="1"/>
  <c r="L161" i="1"/>
  <c r="M161" i="1"/>
  <c r="O161" i="1"/>
  <c r="P161" i="1"/>
  <c r="A162" i="1"/>
  <c r="B162" i="1"/>
  <c r="D162" i="1"/>
  <c r="E162" i="1"/>
  <c r="F162" i="1"/>
  <c r="G162" i="1"/>
  <c r="H162" i="1"/>
  <c r="I162" i="1"/>
  <c r="J162" i="1"/>
  <c r="K162" i="1"/>
  <c r="L162" i="1"/>
  <c r="M162" i="1"/>
  <c r="O162" i="1"/>
  <c r="P162" i="1"/>
  <c r="A163" i="1"/>
  <c r="B163" i="1"/>
  <c r="D163" i="1"/>
  <c r="E163" i="1"/>
  <c r="F163" i="1"/>
  <c r="G163" i="1"/>
  <c r="H163" i="1"/>
  <c r="I163" i="1"/>
  <c r="J163" i="1"/>
  <c r="K163" i="1"/>
  <c r="L163" i="1"/>
  <c r="M163" i="1"/>
  <c r="O163" i="1"/>
  <c r="P163" i="1"/>
  <c r="A164" i="1"/>
  <c r="B164" i="1"/>
  <c r="D164" i="1"/>
  <c r="E164" i="1"/>
  <c r="F164" i="1"/>
  <c r="G164" i="1"/>
  <c r="H164" i="1"/>
  <c r="I164" i="1"/>
  <c r="J164" i="1"/>
  <c r="K164" i="1"/>
  <c r="L164" i="1"/>
  <c r="M164" i="1"/>
  <c r="O164" i="1"/>
  <c r="P164" i="1"/>
  <c r="A165" i="1"/>
  <c r="B165" i="1"/>
  <c r="D165" i="1"/>
  <c r="E165" i="1"/>
  <c r="F165" i="1"/>
  <c r="G165" i="1"/>
  <c r="H165" i="1"/>
  <c r="I165" i="1"/>
  <c r="J165" i="1"/>
  <c r="K165" i="1"/>
  <c r="L165" i="1"/>
  <c r="M165" i="1"/>
  <c r="O165" i="1"/>
  <c r="P165" i="1"/>
  <c r="A166" i="1"/>
  <c r="B166" i="1"/>
  <c r="D166" i="1"/>
  <c r="E166" i="1"/>
  <c r="F166" i="1"/>
  <c r="G166" i="1"/>
  <c r="H166" i="1"/>
  <c r="I166" i="1"/>
  <c r="J166" i="1"/>
  <c r="K166" i="1"/>
  <c r="L166" i="1"/>
  <c r="M166" i="1"/>
  <c r="O166" i="1"/>
  <c r="P166" i="1"/>
  <c r="A167" i="1"/>
  <c r="B167" i="1"/>
  <c r="D167" i="1"/>
  <c r="E167" i="1"/>
  <c r="F167" i="1"/>
  <c r="G167" i="1"/>
  <c r="H167" i="1"/>
  <c r="I167" i="1"/>
  <c r="J167" i="1"/>
  <c r="K167" i="1"/>
  <c r="L167" i="1"/>
  <c r="M167" i="1"/>
  <c r="O167" i="1"/>
  <c r="P167" i="1"/>
  <c r="A168" i="1"/>
  <c r="B168" i="1"/>
  <c r="D168" i="1"/>
  <c r="E168" i="1"/>
  <c r="F168" i="1"/>
  <c r="G168" i="1"/>
  <c r="H168" i="1"/>
  <c r="I168" i="1"/>
  <c r="J168" i="1"/>
  <c r="K168" i="1"/>
  <c r="L168" i="1"/>
  <c r="M168" i="1"/>
  <c r="O168" i="1"/>
  <c r="P168" i="1"/>
  <c r="A169" i="1"/>
  <c r="B169" i="1"/>
  <c r="D169" i="1"/>
  <c r="E169" i="1"/>
  <c r="F169" i="1"/>
  <c r="G169" i="1"/>
  <c r="H169" i="1"/>
  <c r="I169" i="1"/>
  <c r="J169" i="1"/>
  <c r="K169" i="1"/>
  <c r="L169" i="1"/>
  <c r="M169" i="1"/>
  <c r="O169" i="1"/>
  <c r="P169" i="1"/>
  <c r="A170" i="1"/>
  <c r="B170" i="1"/>
  <c r="D170" i="1"/>
  <c r="E170" i="1"/>
  <c r="F170" i="1"/>
  <c r="G170" i="1"/>
  <c r="H170" i="1"/>
  <c r="I170" i="1"/>
  <c r="J170" i="1"/>
  <c r="K170" i="1"/>
  <c r="L170" i="1"/>
  <c r="M170" i="1"/>
  <c r="O170" i="1"/>
  <c r="P170" i="1"/>
  <c r="A171" i="1"/>
  <c r="B171" i="1"/>
  <c r="D171" i="1"/>
  <c r="E171" i="1"/>
  <c r="F171" i="1"/>
  <c r="G171" i="1"/>
  <c r="H171" i="1"/>
  <c r="I171" i="1"/>
  <c r="J171" i="1"/>
  <c r="K171" i="1"/>
  <c r="L171" i="1"/>
  <c r="M171" i="1"/>
  <c r="O171" i="1"/>
  <c r="P171" i="1"/>
  <c r="A172" i="1"/>
  <c r="B172" i="1"/>
  <c r="D172" i="1"/>
  <c r="E172" i="1"/>
  <c r="F172" i="1"/>
  <c r="G172" i="1"/>
  <c r="H172" i="1"/>
  <c r="I172" i="1"/>
  <c r="J172" i="1"/>
  <c r="K172" i="1"/>
  <c r="L172" i="1"/>
  <c r="M172" i="1"/>
  <c r="O172" i="1"/>
  <c r="P172" i="1"/>
  <c r="A173" i="1"/>
  <c r="B173" i="1"/>
  <c r="D173" i="1"/>
  <c r="E173" i="1"/>
  <c r="F173" i="1"/>
  <c r="G173" i="1"/>
  <c r="H173" i="1"/>
  <c r="I173" i="1"/>
  <c r="J173" i="1"/>
  <c r="K173" i="1"/>
  <c r="L173" i="1"/>
  <c r="M173" i="1"/>
  <c r="O173" i="1"/>
  <c r="P173" i="1"/>
  <c r="A174" i="1"/>
  <c r="B174" i="1"/>
  <c r="D174" i="1"/>
  <c r="E174" i="1"/>
  <c r="F174" i="1"/>
  <c r="G174" i="1"/>
  <c r="H174" i="1"/>
  <c r="I174" i="1"/>
  <c r="J174" i="1"/>
  <c r="K174" i="1"/>
  <c r="L174" i="1"/>
  <c r="M174" i="1"/>
  <c r="O174" i="1"/>
  <c r="P174" i="1"/>
  <c r="A175" i="1"/>
  <c r="B175" i="1"/>
  <c r="D175" i="1"/>
  <c r="E175" i="1"/>
  <c r="F175" i="1"/>
  <c r="G175" i="1"/>
  <c r="H175" i="1"/>
  <c r="I175" i="1"/>
  <c r="J175" i="1"/>
  <c r="K175" i="1"/>
  <c r="L175" i="1"/>
  <c r="M175" i="1"/>
  <c r="O175" i="1"/>
  <c r="P175" i="1"/>
  <c r="A176" i="1"/>
  <c r="B176" i="1"/>
  <c r="D176" i="1"/>
  <c r="E176" i="1"/>
  <c r="F176" i="1"/>
  <c r="G176" i="1"/>
  <c r="H176" i="1"/>
  <c r="I176" i="1"/>
  <c r="J176" i="1"/>
  <c r="K176" i="1"/>
  <c r="L176" i="1"/>
  <c r="M176" i="1"/>
  <c r="O176" i="1"/>
  <c r="P176" i="1"/>
  <c r="A177" i="1"/>
  <c r="B177" i="1"/>
  <c r="D177" i="1"/>
  <c r="E177" i="1"/>
  <c r="F177" i="1"/>
  <c r="G177" i="1"/>
  <c r="H177" i="1"/>
  <c r="I177" i="1"/>
  <c r="J177" i="1"/>
  <c r="K177" i="1"/>
  <c r="L177" i="1"/>
  <c r="M177" i="1"/>
  <c r="O177" i="1"/>
  <c r="P177" i="1"/>
  <c r="A178" i="1"/>
  <c r="B178" i="1"/>
  <c r="D178" i="1"/>
  <c r="E178" i="1"/>
  <c r="F178" i="1"/>
  <c r="G178" i="1"/>
  <c r="H178" i="1"/>
  <c r="I178" i="1"/>
  <c r="J178" i="1"/>
  <c r="K178" i="1"/>
  <c r="L178" i="1"/>
  <c r="M178" i="1"/>
  <c r="O178" i="1"/>
  <c r="P178" i="1"/>
  <c r="A179" i="1"/>
  <c r="B179" i="1"/>
  <c r="D179" i="1"/>
  <c r="E179" i="1"/>
  <c r="F179" i="1"/>
  <c r="G179" i="1"/>
  <c r="H179" i="1"/>
  <c r="I179" i="1"/>
  <c r="J179" i="1"/>
  <c r="K179" i="1"/>
  <c r="L179" i="1"/>
  <c r="M179" i="1"/>
  <c r="O179" i="1"/>
  <c r="P179" i="1"/>
  <c r="A180" i="1"/>
  <c r="B180" i="1"/>
  <c r="D180" i="1"/>
  <c r="E180" i="1"/>
  <c r="F180" i="1"/>
  <c r="G180" i="1"/>
  <c r="H180" i="1"/>
  <c r="I180" i="1"/>
  <c r="J180" i="1"/>
  <c r="K180" i="1"/>
  <c r="L180" i="1"/>
  <c r="M180" i="1"/>
  <c r="O180" i="1"/>
  <c r="P180" i="1"/>
  <c r="A181" i="1"/>
  <c r="B181" i="1"/>
  <c r="D181" i="1"/>
  <c r="E181" i="1"/>
  <c r="F181" i="1"/>
  <c r="G181" i="1"/>
  <c r="H181" i="1"/>
  <c r="I181" i="1"/>
  <c r="J181" i="1"/>
  <c r="K181" i="1"/>
  <c r="L181" i="1"/>
  <c r="M181" i="1"/>
  <c r="O181" i="1"/>
  <c r="P181" i="1"/>
  <c r="A182" i="1"/>
  <c r="B182" i="1"/>
  <c r="D182" i="1"/>
  <c r="E182" i="1"/>
  <c r="F182" i="1"/>
  <c r="G182" i="1"/>
  <c r="H182" i="1"/>
  <c r="I182" i="1"/>
  <c r="J182" i="1"/>
  <c r="K182" i="1"/>
  <c r="L182" i="1"/>
  <c r="M182" i="1"/>
  <c r="O182" i="1"/>
  <c r="P182" i="1"/>
  <c r="A183" i="1"/>
  <c r="B183" i="1"/>
  <c r="D183" i="1"/>
  <c r="E183" i="1"/>
  <c r="F183" i="1"/>
  <c r="G183" i="1"/>
  <c r="H183" i="1"/>
  <c r="I183" i="1"/>
  <c r="J183" i="1"/>
  <c r="K183" i="1"/>
  <c r="L183" i="1"/>
  <c r="M183" i="1"/>
  <c r="O183" i="1"/>
  <c r="P183" i="1"/>
  <c r="A184" i="1"/>
  <c r="B184" i="1"/>
  <c r="D184" i="1"/>
  <c r="E184" i="1"/>
  <c r="F184" i="1"/>
  <c r="G184" i="1"/>
  <c r="H184" i="1"/>
  <c r="I184" i="1"/>
  <c r="J184" i="1"/>
  <c r="K184" i="1"/>
  <c r="L184" i="1"/>
  <c r="M184" i="1"/>
  <c r="O184" i="1"/>
  <c r="P184" i="1"/>
  <c r="A185" i="1"/>
  <c r="B185" i="1"/>
  <c r="D185" i="1"/>
  <c r="E185" i="1"/>
  <c r="F185" i="1"/>
  <c r="G185" i="1"/>
  <c r="H185" i="1"/>
  <c r="I185" i="1"/>
  <c r="J185" i="1"/>
  <c r="K185" i="1"/>
  <c r="L185" i="1"/>
  <c r="M185" i="1"/>
  <c r="O185" i="1"/>
  <c r="P185" i="1"/>
  <c r="A186" i="1"/>
  <c r="B186" i="1"/>
  <c r="D186" i="1"/>
  <c r="E186" i="1"/>
  <c r="F186" i="1"/>
  <c r="G186" i="1"/>
  <c r="H186" i="1"/>
  <c r="I186" i="1"/>
  <c r="J186" i="1"/>
  <c r="K186" i="1"/>
  <c r="L186" i="1"/>
  <c r="M186" i="1"/>
  <c r="O186" i="1"/>
  <c r="P186" i="1"/>
  <c r="A187" i="1"/>
  <c r="B187" i="1"/>
  <c r="D187" i="1"/>
  <c r="E187" i="1"/>
  <c r="F187" i="1"/>
  <c r="G187" i="1"/>
  <c r="H187" i="1"/>
  <c r="I187" i="1"/>
  <c r="J187" i="1"/>
  <c r="K187" i="1"/>
  <c r="L187" i="1"/>
  <c r="M187" i="1"/>
  <c r="O187" i="1"/>
  <c r="P187" i="1"/>
  <c r="A188" i="1"/>
  <c r="B188" i="1"/>
  <c r="D188" i="1"/>
  <c r="E188" i="1"/>
  <c r="F188" i="1"/>
  <c r="G188" i="1"/>
  <c r="H188" i="1"/>
  <c r="I188" i="1"/>
  <c r="J188" i="1"/>
  <c r="K188" i="1"/>
  <c r="L188" i="1"/>
  <c r="M188" i="1"/>
  <c r="O188" i="1"/>
  <c r="P188" i="1"/>
  <c r="A189" i="1"/>
  <c r="B189" i="1"/>
  <c r="D189" i="1"/>
  <c r="E189" i="1"/>
  <c r="F189" i="1"/>
  <c r="G189" i="1"/>
  <c r="H189" i="1"/>
  <c r="I189" i="1"/>
  <c r="J189" i="1"/>
  <c r="K189" i="1"/>
  <c r="L189" i="1"/>
  <c r="M189" i="1"/>
  <c r="O189" i="1"/>
  <c r="P189" i="1"/>
  <c r="A190" i="1"/>
  <c r="B190" i="1"/>
  <c r="D190" i="1"/>
  <c r="E190" i="1"/>
  <c r="F190" i="1"/>
  <c r="G190" i="1"/>
  <c r="H190" i="1"/>
  <c r="I190" i="1"/>
  <c r="J190" i="1"/>
  <c r="K190" i="1"/>
  <c r="L190" i="1"/>
  <c r="M190" i="1"/>
  <c r="O190" i="1"/>
  <c r="P190" i="1"/>
  <c r="A191" i="1"/>
  <c r="B191" i="1"/>
  <c r="D191" i="1"/>
  <c r="E191" i="1"/>
  <c r="F191" i="1"/>
  <c r="G191" i="1"/>
  <c r="H191" i="1"/>
  <c r="I191" i="1"/>
  <c r="J191" i="1"/>
  <c r="K191" i="1"/>
  <c r="L191" i="1"/>
  <c r="M191" i="1"/>
  <c r="O191" i="1"/>
  <c r="P191" i="1"/>
  <c r="A192" i="1"/>
  <c r="B192" i="1"/>
  <c r="D192" i="1"/>
  <c r="E192" i="1"/>
  <c r="F192" i="1"/>
  <c r="G192" i="1"/>
  <c r="H192" i="1"/>
  <c r="I192" i="1"/>
  <c r="J192" i="1"/>
  <c r="K192" i="1"/>
  <c r="L192" i="1"/>
  <c r="M192" i="1"/>
  <c r="O192" i="1"/>
  <c r="P192" i="1"/>
  <c r="A193" i="1"/>
  <c r="B193" i="1"/>
  <c r="D193" i="1"/>
  <c r="E193" i="1"/>
  <c r="F193" i="1"/>
  <c r="G193" i="1"/>
  <c r="H193" i="1"/>
  <c r="I193" i="1"/>
  <c r="J193" i="1"/>
  <c r="K193" i="1"/>
  <c r="L193" i="1"/>
  <c r="M193" i="1"/>
  <c r="O193" i="1"/>
  <c r="P193" i="1"/>
  <c r="A194" i="1"/>
  <c r="B194" i="1"/>
  <c r="D194" i="1"/>
  <c r="E194" i="1"/>
  <c r="F194" i="1"/>
  <c r="G194" i="1"/>
  <c r="H194" i="1"/>
  <c r="I194" i="1"/>
  <c r="J194" i="1"/>
  <c r="K194" i="1"/>
  <c r="L194" i="1"/>
  <c r="M194" i="1"/>
  <c r="O194" i="1"/>
  <c r="P194" i="1"/>
  <c r="A195" i="1"/>
  <c r="B195" i="1"/>
  <c r="D195" i="1"/>
  <c r="E195" i="1"/>
  <c r="F195" i="1"/>
  <c r="G195" i="1"/>
  <c r="H195" i="1"/>
  <c r="I195" i="1"/>
  <c r="J195" i="1"/>
  <c r="K195" i="1"/>
  <c r="L195" i="1"/>
  <c r="M195" i="1"/>
  <c r="O195" i="1"/>
  <c r="P195" i="1"/>
  <c r="A196" i="1"/>
  <c r="B196" i="1"/>
  <c r="D196" i="1"/>
  <c r="E196" i="1"/>
  <c r="F196" i="1"/>
  <c r="G196" i="1"/>
  <c r="H196" i="1"/>
  <c r="I196" i="1"/>
  <c r="J196" i="1"/>
  <c r="K196" i="1"/>
  <c r="L196" i="1"/>
  <c r="M196" i="1"/>
  <c r="O196" i="1"/>
  <c r="P196" i="1"/>
  <c r="A197" i="1"/>
  <c r="B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A198" i="1"/>
  <c r="B198" i="1"/>
  <c r="D198" i="1"/>
  <c r="E198" i="1"/>
  <c r="F198" i="1"/>
  <c r="G198" i="1"/>
  <c r="H198" i="1"/>
  <c r="I198" i="1"/>
  <c r="J198" i="1"/>
  <c r="K198" i="1"/>
  <c r="L198" i="1"/>
  <c r="M198" i="1"/>
  <c r="O198" i="1"/>
  <c r="P198" i="1"/>
  <c r="A199" i="1"/>
  <c r="B199" i="1"/>
  <c r="D199" i="1"/>
  <c r="E199" i="1"/>
  <c r="F199" i="1"/>
  <c r="G199" i="1"/>
  <c r="H199" i="1"/>
  <c r="I199" i="1"/>
  <c r="J199" i="1"/>
  <c r="K199" i="1"/>
  <c r="L199" i="1"/>
  <c r="M199" i="1"/>
  <c r="O199" i="1"/>
  <c r="P199" i="1"/>
  <c r="A200" i="1"/>
  <c r="B200" i="1"/>
  <c r="D200" i="1"/>
  <c r="E200" i="1"/>
  <c r="F200" i="1"/>
  <c r="G200" i="1"/>
  <c r="H200" i="1"/>
  <c r="I200" i="1"/>
  <c r="J200" i="1"/>
  <c r="K200" i="1"/>
  <c r="L200" i="1"/>
  <c r="M200" i="1"/>
  <c r="O200" i="1"/>
  <c r="P200" i="1"/>
  <c r="A201" i="1"/>
  <c r="B201" i="1"/>
  <c r="D201" i="1"/>
  <c r="E201" i="1"/>
  <c r="F201" i="1"/>
  <c r="G201" i="1"/>
  <c r="H201" i="1"/>
  <c r="I201" i="1"/>
  <c r="J201" i="1"/>
  <c r="K201" i="1"/>
  <c r="L201" i="1"/>
  <c r="M201" i="1"/>
  <c r="O201" i="1"/>
  <c r="P201" i="1"/>
  <c r="A202" i="1"/>
  <c r="B202" i="1"/>
  <c r="D202" i="1"/>
  <c r="E202" i="1"/>
  <c r="F202" i="1"/>
  <c r="G202" i="1"/>
  <c r="H202" i="1"/>
  <c r="I202" i="1"/>
  <c r="J202" i="1"/>
  <c r="K202" i="1"/>
  <c r="L202" i="1"/>
  <c r="M202" i="1"/>
  <c r="O202" i="1"/>
  <c r="P202" i="1"/>
  <c r="A203" i="1"/>
  <c r="B203" i="1"/>
  <c r="D203" i="1"/>
  <c r="E203" i="1"/>
  <c r="F203" i="1"/>
  <c r="G203" i="1"/>
  <c r="H203" i="1"/>
  <c r="I203" i="1"/>
  <c r="J203" i="1"/>
  <c r="K203" i="1"/>
  <c r="L203" i="1"/>
  <c r="M203" i="1"/>
  <c r="O203" i="1"/>
  <c r="P203" i="1"/>
  <c r="A204" i="1"/>
  <c r="B204" i="1"/>
  <c r="D204" i="1"/>
  <c r="E204" i="1"/>
  <c r="F204" i="1"/>
  <c r="G204" i="1"/>
  <c r="H204" i="1"/>
  <c r="I204" i="1"/>
  <c r="J204" i="1"/>
  <c r="K204" i="1"/>
  <c r="L204" i="1"/>
  <c r="M204" i="1"/>
  <c r="O204" i="1"/>
  <c r="P204" i="1"/>
  <c r="A205" i="1"/>
  <c r="B205" i="1"/>
  <c r="D205" i="1"/>
  <c r="E205" i="1"/>
  <c r="F205" i="1"/>
  <c r="G205" i="1"/>
  <c r="H205" i="1"/>
  <c r="I205" i="1"/>
  <c r="J205" i="1"/>
  <c r="K205" i="1"/>
  <c r="L205" i="1"/>
  <c r="M205" i="1"/>
  <c r="O205" i="1"/>
  <c r="P205" i="1"/>
  <c r="A206" i="1"/>
  <c r="B206" i="1"/>
  <c r="D206" i="1"/>
  <c r="E206" i="1"/>
  <c r="F206" i="1"/>
  <c r="G206" i="1"/>
  <c r="H206" i="1"/>
  <c r="I206" i="1"/>
  <c r="J206" i="1"/>
  <c r="K206" i="1"/>
  <c r="L206" i="1"/>
  <c r="M206" i="1"/>
  <c r="O206" i="1"/>
  <c r="P206" i="1"/>
  <c r="A207" i="1"/>
  <c r="B207" i="1"/>
  <c r="D207" i="1"/>
  <c r="E207" i="1"/>
  <c r="F207" i="1"/>
  <c r="G207" i="1"/>
  <c r="H207" i="1"/>
  <c r="I207" i="1"/>
  <c r="J207" i="1"/>
  <c r="K207" i="1"/>
  <c r="L207" i="1"/>
  <c r="M207" i="1"/>
  <c r="O207" i="1"/>
  <c r="P207" i="1"/>
  <c r="A208" i="1"/>
  <c r="B208" i="1"/>
  <c r="D208" i="1"/>
  <c r="E208" i="1"/>
  <c r="F208" i="1"/>
  <c r="G208" i="1"/>
  <c r="H208" i="1"/>
  <c r="I208" i="1"/>
  <c r="J208" i="1"/>
  <c r="K208" i="1"/>
  <c r="L208" i="1"/>
  <c r="M208" i="1"/>
  <c r="O208" i="1"/>
  <c r="P208" i="1"/>
  <c r="A209" i="1"/>
  <c r="B209" i="1"/>
  <c r="D209" i="1"/>
  <c r="E209" i="1"/>
  <c r="F209" i="1"/>
  <c r="G209" i="1"/>
  <c r="H209" i="1"/>
  <c r="I209" i="1"/>
  <c r="J209" i="1"/>
  <c r="K209" i="1"/>
  <c r="L209" i="1"/>
  <c r="M209" i="1"/>
  <c r="O209" i="1"/>
  <c r="P209" i="1"/>
  <c r="A210" i="1"/>
  <c r="B210" i="1"/>
  <c r="D210" i="1"/>
  <c r="E210" i="1"/>
  <c r="F210" i="1"/>
  <c r="G210" i="1"/>
  <c r="H210" i="1"/>
  <c r="I210" i="1"/>
  <c r="J210" i="1"/>
  <c r="K210" i="1"/>
  <c r="L210" i="1"/>
  <c r="M210" i="1"/>
  <c r="O210" i="1"/>
  <c r="P210" i="1"/>
  <c r="A211" i="1"/>
  <c r="B211" i="1"/>
  <c r="D211" i="1"/>
  <c r="E211" i="1"/>
  <c r="F211" i="1"/>
  <c r="G211" i="1"/>
  <c r="H211" i="1"/>
  <c r="I211" i="1"/>
  <c r="J211" i="1"/>
  <c r="K211" i="1"/>
  <c r="L211" i="1"/>
  <c r="M211" i="1"/>
  <c r="O211" i="1"/>
  <c r="P211" i="1"/>
  <c r="A212" i="1"/>
  <c r="B212" i="1"/>
  <c r="D212" i="1"/>
  <c r="E212" i="1"/>
  <c r="F212" i="1"/>
  <c r="G212" i="1"/>
  <c r="H212" i="1"/>
  <c r="I212" i="1"/>
  <c r="J212" i="1"/>
  <c r="K212" i="1"/>
  <c r="L212" i="1"/>
  <c r="M212" i="1"/>
  <c r="O212" i="1"/>
  <c r="P212" i="1"/>
  <c r="A213" i="1"/>
  <c r="B213" i="1"/>
  <c r="D213" i="1"/>
  <c r="E213" i="1"/>
  <c r="F213" i="1"/>
  <c r="G213" i="1"/>
  <c r="H213" i="1"/>
  <c r="I213" i="1"/>
  <c r="J213" i="1"/>
  <c r="K213" i="1"/>
  <c r="L213" i="1"/>
  <c r="M213" i="1"/>
  <c r="O213" i="1"/>
  <c r="P213" i="1"/>
  <c r="A214" i="1"/>
  <c r="B214" i="1"/>
  <c r="D214" i="1"/>
  <c r="E214" i="1"/>
  <c r="F214" i="1"/>
  <c r="G214" i="1"/>
  <c r="H214" i="1"/>
  <c r="I214" i="1"/>
  <c r="J214" i="1"/>
  <c r="K214" i="1"/>
  <c r="L214" i="1"/>
  <c r="M214" i="1"/>
  <c r="O214" i="1"/>
  <c r="P214" i="1"/>
  <c r="A215" i="1"/>
  <c r="B215" i="1"/>
  <c r="D215" i="1"/>
  <c r="E215" i="1"/>
  <c r="F215" i="1"/>
  <c r="G215" i="1"/>
  <c r="H215" i="1"/>
  <c r="I215" i="1"/>
  <c r="J215" i="1"/>
  <c r="K215" i="1"/>
  <c r="L215" i="1"/>
  <c r="M215" i="1"/>
  <c r="O215" i="1"/>
  <c r="P215" i="1"/>
  <c r="A216" i="1"/>
  <c r="B216" i="1"/>
  <c r="D216" i="1"/>
  <c r="E216" i="1"/>
  <c r="F216" i="1"/>
  <c r="G216" i="1"/>
  <c r="H216" i="1"/>
  <c r="I216" i="1"/>
  <c r="J216" i="1"/>
  <c r="K216" i="1"/>
  <c r="L216" i="1"/>
  <c r="M216" i="1"/>
  <c r="O216" i="1"/>
  <c r="P216" i="1"/>
  <c r="A217" i="1"/>
  <c r="B217" i="1"/>
  <c r="D217" i="1"/>
  <c r="E217" i="1"/>
  <c r="F217" i="1"/>
  <c r="G217" i="1"/>
  <c r="H217" i="1"/>
  <c r="I217" i="1"/>
  <c r="J217" i="1"/>
  <c r="K217" i="1"/>
  <c r="L217" i="1"/>
  <c r="M217" i="1"/>
  <c r="O217" i="1"/>
  <c r="P217" i="1"/>
  <c r="A218" i="1"/>
  <c r="B218" i="1"/>
  <c r="D218" i="1"/>
  <c r="E218" i="1"/>
  <c r="F218" i="1"/>
  <c r="G218" i="1"/>
  <c r="H218" i="1"/>
  <c r="I218" i="1"/>
  <c r="J218" i="1"/>
  <c r="K218" i="1"/>
  <c r="L218" i="1"/>
  <c r="M218" i="1"/>
  <c r="O218" i="1"/>
  <c r="P218" i="1"/>
  <c r="A219" i="1"/>
  <c r="B219" i="1"/>
  <c r="D219" i="1"/>
  <c r="E219" i="1"/>
  <c r="F219" i="1"/>
  <c r="G219" i="1"/>
  <c r="H219" i="1"/>
  <c r="I219" i="1"/>
  <c r="J219" i="1"/>
  <c r="K219" i="1"/>
  <c r="L219" i="1"/>
  <c r="M219" i="1"/>
  <c r="O219" i="1"/>
  <c r="P219" i="1"/>
  <c r="A220" i="1"/>
  <c r="B220" i="1"/>
  <c r="D220" i="1"/>
  <c r="E220" i="1"/>
  <c r="F220" i="1"/>
  <c r="G220" i="1"/>
  <c r="H220" i="1"/>
  <c r="I220" i="1"/>
  <c r="J220" i="1"/>
  <c r="K220" i="1"/>
  <c r="L220" i="1"/>
  <c r="M220" i="1"/>
  <c r="O220" i="1"/>
  <c r="P220" i="1"/>
  <c r="A221" i="1"/>
  <c r="B221" i="1"/>
  <c r="D221" i="1"/>
  <c r="E221" i="1"/>
  <c r="F221" i="1"/>
  <c r="G221" i="1"/>
  <c r="H221" i="1"/>
  <c r="I221" i="1"/>
  <c r="J221" i="1"/>
  <c r="K221" i="1"/>
  <c r="L221" i="1"/>
  <c r="M221" i="1"/>
  <c r="O221" i="1"/>
  <c r="P221" i="1"/>
  <c r="A222" i="1"/>
  <c r="B222" i="1"/>
  <c r="D222" i="1"/>
  <c r="E222" i="1"/>
  <c r="F222" i="1"/>
  <c r="G222" i="1"/>
  <c r="H222" i="1"/>
  <c r="I222" i="1"/>
  <c r="J222" i="1"/>
  <c r="K222" i="1"/>
  <c r="L222" i="1"/>
  <c r="M222" i="1"/>
  <c r="O222" i="1"/>
  <c r="P222" i="1"/>
  <c r="A223" i="1"/>
  <c r="B223" i="1"/>
  <c r="D223" i="1"/>
  <c r="E223" i="1"/>
  <c r="F223" i="1"/>
  <c r="G223" i="1"/>
  <c r="H223" i="1"/>
  <c r="I223" i="1"/>
  <c r="J223" i="1"/>
  <c r="K223" i="1"/>
  <c r="L223" i="1"/>
  <c r="M223" i="1"/>
  <c r="O223" i="1"/>
  <c r="P223" i="1"/>
  <c r="A224" i="1"/>
  <c r="B224" i="1"/>
  <c r="D224" i="1"/>
  <c r="E224" i="1"/>
  <c r="F224" i="1"/>
  <c r="G224" i="1"/>
  <c r="H224" i="1"/>
  <c r="I224" i="1"/>
  <c r="J224" i="1"/>
  <c r="K224" i="1"/>
  <c r="L224" i="1"/>
  <c r="M224" i="1"/>
  <c r="O224" i="1"/>
  <c r="P224" i="1"/>
  <c r="A225" i="1"/>
  <c r="B225" i="1"/>
  <c r="D225" i="1"/>
  <c r="E225" i="1"/>
  <c r="F225" i="1"/>
  <c r="G225" i="1"/>
  <c r="H225" i="1"/>
  <c r="I225" i="1"/>
  <c r="J225" i="1"/>
  <c r="K225" i="1"/>
  <c r="L225" i="1"/>
  <c r="M225" i="1"/>
  <c r="O225" i="1"/>
  <c r="P225" i="1"/>
  <c r="A226" i="1"/>
  <c r="B226" i="1"/>
  <c r="D226" i="1"/>
  <c r="E226" i="1"/>
  <c r="F226" i="1"/>
  <c r="G226" i="1"/>
  <c r="H226" i="1"/>
  <c r="I226" i="1"/>
  <c r="J226" i="1"/>
  <c r="K226" i="1"/>
  <c r="L226" i="1"/>
  <c r="M226" i="1"/>
  <c r="O226" i="1"/>
  <c r="P226" i="1"/>
  <c r="A227" i="1"/>
  <c r="B227" i="1"/>
  <c r="D227" i="1"/>
  <c r="E227" i="1"/>
  <c r="F227" i="1"/>
  <c r="G227" i="1"/>
  <c r="H227" i="1"/>
  <c r="I227" i="1"/>
  <c r="J227" i="1"/>
  <c r="K227" i="1"/>
  <c r="L227" i="1"/>
  <c r="M227" i="1"/>
  <c r="O227" i="1"/>
  <c r="P227" i="1"/>
  <c r="A228" i="1"/>
  <c r="B228" i="1"/>
  <c r="D228" i="1"/>
  <c r="E228" i="1"/>
  <c r="F228" i="1"/>
  <c r="G228" i="1"/>
  <c r="H228" i="1"/>
  <c r="I228" i="1"/>
  <c r="J228" i="1"/>
  <c r="K228" i="1"/>
  <c r="L228" i="1"/>
  <c r="M228" i="1"/>
  <c r="O228" i="1"/>
  <c r="P228" i="1"/>
  <c r="A229" i="1"/>
  <c r="B229" i="1"/>
  <c r="D229" i="1"/>
  <c r="E229" i="1"/>
  <c r="F229" i="1"/>
  <c r="G229" i="1"/>
  <c r="H229" i="1"/>
  <c r="I229" i="1"/>
  <c r="J229" i="1"/>
  <c r="K229" i="1"/>
  <c r="L229" i="1"/>
  <c r="M229" i="1"/>
  <c r="O229" i="1"/>
  <c r="P229" i="1"/>
  <c r="A230" i="1"/>
  <c r="B230" i="1"/>
  <c r="D230" i="1"/>
  <c r="E230" i="1"/>
  <c r="F230" i="1"/>
  <c r="G230" i="1"/>
  <c r="H230" i="1"/>
  <c r="I230" i="1"/>
  <c r="J230" i="1"/>
  <c r="K230" i="1"/>
  <c r="L230" i="1"/>
  <c r="M230" i="1"/>
  <c r="O230" i="1"/>
  <c r="P230" i="1"/>
  <c r="A231" i="1"/>
  <c r="B231" i="1"/>
  <c r="D231" i="1"/>
  <c r="E231" i="1"/>
  <c r="F231" i="1"/>
  <c r="G231" i="1"/>
  <c r="H231" i="1"/>
  <c r="I231" i="1"/>
  <c r="J231" i="1"/>
  <c r="K231" i="1"/>
  <c r="L231" i="1"/>
  <c r="M231" i="1"/>
  <c r="O231" i="1"/>
  <c r="P231" i="1"/>
  <c r="A232" i="1"/>
  <c r="B232" i="1"/>
  <c r="D232" i="1"/>
  <c r="E232" i="1"/>
  <c r="F232" i="1"/>
  <c r="G232" i="1"/>
  <c r="H232" i="1"/>
  <c r="I232" i="1"/>
  <c r="J232" i="1"/>
  <c r="K232" i="1"/>
  <c r="L232" i="1"/>
  <c r="M232" i="1"/>
  <c r="O232" i="1"/>
  <c r="P232" i="1"/>
  <c r="A233" i="1"/>
  <c r="B233" i="1"/>
  <c r="D233" i="1"/>
  <c r="E233" i="1"/>
  <c r="F233" i="1"/>
  <c r="G233" i="1"/>
  <c r="H233" i="1"/>
  <c r="I233" i="1"/>
  <c r="J233" i="1"/>
  <c r="K233" i="1"/>
  <c r="L233" i="1"/>
  <c r="M233" i="1"/>
  <c r="O233" i="1"/>
  <c r="P233" i="1"/>
  <c r="A234" i="1"/>
  <c r="B234" i="1"/>
  <c r="D234" i="1"/>
  <c r="E234" i="1"/>
  <c r="F234" i="1"/>
  <c r="G234" i="1"/>
  <c r="H234" i="1"/>
  <c r="I234" i="1"/>
  <c r="J234" i="1"/>
  <c r="K234" i="1"/>
  <c r="L234" i="1"/>
  <c r="M234" i="1"/>
  <c r="O234" i="1"/>
  <c r="P234" i="1"/>
  <c r="A235" i="1"/>
  <c r="B235" i="1"/>
  <c r="D235" i="1"/>
  <c r="E235" i="1"/>
  <c r="F235" i="1"/>
  <c r="G235" i="1"/>
  <c r="H235" i="1"/>
  <c r="I235" i="1"/>
  <c r="J235" i="1"/>
  <c r="K235" i="1"/>
  <c r="L235" i="1"/>
  <c r="M235" i="1"/>
  <c r="O235" i="1"/>
  <c r="P235" i="1"/>
  <c r="A236" i="1"/>
  <c r="B236" i="1"/>
  <c r="D236" i="1"/>
  <c r="E236" i="1"/>
  <c r="F236" i="1"/>
  <c r="G236" i="1"/>
  <c r="H236" i="1"/>
  <c r="I236" i="1"/>
  <c r="J236" i="1"/>
  <c r="K236" i="1"/>
  <c r="L236" i="1"/>
  <c r="M236" i="1"/>
  <c r="O236" i="1"/>
  <c r="P236" i="1"/>
  <c r="A237" i="1"/>
  <c r="B237" i="1"/>
  <c r="D237" i="1"/>
  <c r="E237" i="1"/>
  <c r="F237" i="1"/>
  <c r="G237" i="1"/>
  <c r="H237" i="1"/>
  <c r="I237" i="1"/>
  <c r="J237" i="1"/>
  <c r="K237" i="1"/>
  <c r="L237" i="1"/>
  <c r="M237" i="1"/>
  <c r="O237" i="1"/>
  <c r="P237" i="1"/>
  <c r="A238" i="1"/>
  <c r="B238" i="1"/>
  <c r="D238" i="1"/>
  <c r="E238" i="1"/>
  <c r="F238" i="1"/>
  <c r="G238" i="1"/>
  <c r="H238" i="1"/>
  <c r="I238" i="1"/>
  <c r="J238" i="1"/>
  <c r="K238" i="1"/>
  <c r="L238" i="1"/>
  <c r="M238" i="1"/>
  <c r="O238" i="1"/>
  <c r="P238" i="1"/>
  <c r="A239" i="1"/>
  <c r="B239" i="1"/>
  <c r="D239" i="1"/>
  <c r="E239" i="1"/>
  <c r="F239" i="1"/>
  <c r="G239" i="1"/>
  <c r="H239" i="1"/>
  <c r="I239" i="1"/>
  <c r="J239" i="1"/>
  <c r="K239" i="1"/>
  <c r="L239" i="1"/>
  <c r="M239" i="1"/>
  <c r="O239" i="1"/>
  <c r="P239" i="1"/>
  <c r="A240" i="1"/>
  <c r="B240" i="1"/>
  <c r="D240" i="1"/>
  <c r="E240" i="1"/>
  <c r="F240" i="1"/>
  <c r="G240" i="1"/>
  <c r="H240" i="1"/>
  <c r="I240" i="1"/>
  <c r="J240" i="1"/>
  <c r="K240" i="1"/>
  <c r="L240" i="1"/>
  <c r="M240" i="1"/>
  <c r="O240" i="1"/>
  <c r="P240" i="1"/>
  <c r="A241" i="1"/>
  <c r="B241" i="1"/>
  <c r="D241" i="1"/>
  <c r="E241" i="1"/>
  <c r="F241" i="1"/>
  <c r="G241" i="1"/>
  <c r="H241" i="1"/>
  <c r="I241" i="1"/>
  <c r="J241" i="1"/>
  <c r="K241" i="1"/>
  <c r="L241" i="1"/>
  <c r="M241" i="1"/>
  <c r="O241" i="1"/>
  <c r="P241" i="1"/>
  <c r="A242" i="1"/>
  <c r="B242" i="1"/>
  <c r="D242" i="1"/>
  <c r="E242" i="1"/>
  <c r="F242" i="1"/>
  <c r="G242" i="1"/>
  <c r="H242" i="1"/>
  <c r="I242" i="1"/>
  <c r="J242" i="1"/>
  <c r="K242" i="1"/>
  <c r="L242" i="1"/>
  <c r="M242" i="1"/>
  <c r="O242" i="1"/>
  <c r="P242" i="1"/>
  <c r="A243" i="1"/>
  <c r="B243" i="1"/>
  <c r="D243" i="1"/>
  <c r="E243" i="1"/>
  <c r="F243" i="1"/>
  <c r="G243" i="1"/>
  <c r="H243" i="1"/>
  <c r="I243" i="1"/>
  <c r="J243" i="1"/>
  <c r="K243" i="1"/>
  <c r="L243" i="1"/>
  <c r="M243" i="1"/>
  <c r="O243" i="1"/>
  <c r="P243" i="1"/>
  <c r="A244" i="1"/>
  <c r="B244" i="1"/>
  <c r="D244" i="1"/>
  <c r="E244" i="1"/>
  <c r="F244" i="1"/>
  <c r="G244" i="1"/>
  <c r="H244" i="1"/>
  <c r="I244" i="1"/>
  <c r="J244" i="1"/>
  <c r="K244" i="1"/>
  <c r="L244" i="1"/>
  <c r="M244" i="1"/>
  <c r="O244" i="1"/>
  <c r="P244" i="1"/>
  <c r="A245" i="1"/>
  <c r="B245" i="1"/>
  <c r="D245" i="1"/>
  <c r="E245" i="1"/>
  <c r="F245" i="1"/>
  <c r="G245" i="1"/>
  <c r="H245" i="1"/>
  <c r="I245" i="1"/>
  <c r="J245" i="1"/>
  <c r="K245" i="1"/>
  <c r="L245" i="1"/>
  <c r="M245" i="1"/>
  <c r="O245" i="1"/>
  <c r="P245" i="1"/>
  <c r="A246" i="1"/>
  <c r="B246" i="1"/>
  <c r="D246" i="1"/>
  <c r="E246" i="1"/>
  <c r="F246" i="1"/>
  <c r="G246" i="1"/>
  <c r="H246" i="1"/>
  <c r="I246" i="1"/>
  <c r="J246" i="1"/>
  <c r="K246" i="1"/>
  <c r="L246" i="1"/>
  <c r="M246" i="1"/>
  <c r="O246" i="1"/>
  <c r="P246" i="1"/>
  <c r="A247" i="1"/>
  <c r="B247" i="1"/>
  <c r="D247" i="1"/>
  <c r="E247" i="1"/>
  <c r="F247" i="1"/>
  <c r="G247" i="1"/>
  <c r="H247" i="1"/>
  <c r="I247" i="1"/>
  <c r="J247" i="1"/>
  <c r="K247" i="1"/>
  <c r="L247" i="1"/>
  <c r="M247" i="1"/>
  <c r="O247" i="1"/>
  <c r="P247" i="1"/>
  <c r="A248" i="1"/>
  <c r="B248" i="1"/>
  <c r="D248" i="1"/>
  <c r="E248" i="1"/>
  <c r="F248" i="1"/>
  <c r="G248" i="1"/>
  <c r="H248" i="1"/>
  <c r="I248" i="1"/>
  <c r="J248" i="1"/>
  <c r="K248" i="1"/>
  <c r="L248" i="1"/>
  <c r="M248" i="1"/>
  <c r="O248" i="1"/>
  <c r="P248" i="1"/>
  <c r="A249" i="1"/>
  <c r="B249" i="1"/>
  <c r="D249" i="1"/>
  <c r="E249" i="1"/>
  <c r="F249" i="1"/>
  <c r="G249" i="1"/>
  <c r="H249" i="1"/>
  <c r="I249" i="1"/>
  <c r="J249" i="1"/>
  <c r="K249" i="1"/>
  <c r="L249" i="1"/>
  <c r="M249" i="1"/>
  <c r="O249" i="1"/>
  <c r="P249" i="1"/>
  <c r="A250" i="1"/>
  <c r="B250" i="1"/>
  <c r="D250" i="1"/>
  <c r="E250" i="1"/>
  <c r="F250" i="1"/>
  <c r="G250" i="1"/>
  <c r="H250" i="1"/>
  <c r="I250" i="1"/>
  <c r="J250" i="1"/>
  <c r="K250" i="1"/>
  <c r="L250" i="1"/>
  <c r="M250" i="1"/>
  <c r="O250" i="1"/>
  <c r="P250" i="1"/>
  <c r="A251" i="1"/>
  <c r="B251" i="1"/>
  <c r="D251" i="1"/>
  <c r="E251" i="1"/>
  <c r="F251" i="1"/>
  <c r="G251" i="1"/>
  <c r="H251" i="1"/>
  <c r="I251" i="1"/>
  <c r="J251" i="1"/>
  <c r="K251" i="1"/>
  <c r="L251" i="1"/>
  <c r="M251" i="1"/>
  <c r="O251" i="1"/>
  <c r="P251" i="1"/>
  <c r="A252" i="1"/>
  <c r="B252" i="1"/>
  <c r="D252" i="1"/>
  <c r="E252" i="1"/>
  <c r="F252" i="1"/>
  <c r="G252" i="1"/>
  <c r="H252" i="1"/>
  <c r="I252" i="1"/>
  <c r="J252" i="1"/>
  <c r="K252" i="1"/>
  <c r="L252" i="1"/>
  <c r="M252" i="1"/>
  <c r="O252" i="1"/>
  <c r="P252" i="1"/>
  <c r="A253" i="1"/>
  <c r="B253" i="1"/>
  <c r="D253" i="1"/>
  <c r="E253" i="1"/>
  <c r="F253" i="1"/>
  <c r="G253" i="1"/>
  <c r="H253" i="1"/>
  <c r="I253" i="1"/>
  <c r="J253" i="1"/>
  <c r="K253" i="1"/>
  <c r="L253" i="1"/>
  <c r="M253" i="1"/>
  <c r="O253" i="1"/>
  <c r="P253" i="1"/>
  <c r="A254" i="1"/>
  <c r="B254" i="1"/>
  <c r="D254" i="1"/>
  <c r="E254" i="1"/>
  <c r="F254" i="1"/>
  <c r="G254" i="1"/>
  <c r="H254" i="1"/>
  <c r="I254" i="1"/>
  <c r="J254" i="1"/>
  <c r="K254" i="1"/>
  <c r="L254" i="1"/>
  <c r="M254" i="1"/>
  <c r="O254" i="1"/>
  <c r="P254" i="1"/>
  <c r="A255" i="1"/>
  <c r="B255" i="1"/>
  <c r="D255" i="1"/>
  <c r="E255" i="1"/>
  <c r="F255" i="1"/>
  <c r="G255" i="1"/>
  <c r="H255" i="1"/>
  <c r="I255" i="1"/>
  <c r="J255" i="1"/>
  <c r="K255" i="1"/>
  <c r="L255" i="1"/>
  <c r="M255" i="1"/>
  <c r="O255" i="1"/>
  <c r="P255" i="1"/>
  <c r="A256" i="1"/>
  <c r="B256" i="1"/>
  <c r="D256" i="1"/>
  <c r="E256" i="1"/>
  <c r="F256" i="1"/>
  <c r="G256" i="1"/>
  <c r="H256" i="1"/>
  <c r="I256" i="1"/>
  <c r="J256" i="1"/>
  <c r="K256" i="1"/>
  <c r="L256" i="1"/>
  <c r="M256" i="1"/>
  <c r="O256" i="1"/>
  <c r="P256" i="1"/>
  <c r="A257" i="1"/>
  <c r="B257" i="1"/>
  <c r="D257" i="1"/>
  <c r="E257" i="1"/>
  <c r="F257" i="1"/>
  <c r="G257" i="1"/>
  <c r="H257" i="1"/>
  <c r="I257" i="1"/>
  <c r="J257" i="1"/>
  <c r="K257" i="1"/>
  <c r="L257" i="1"/>
  <c r="M257" i="1"/>
  <c r="O257" i="1"/>
  <c r="P257" i="1"/>
  <c r="A258" i="1"/>
  <c r="B258" i="1"/>
  <c r="D258" i="1"/>
  <c r="E258" i="1"/>
  <c r="F258" i="1"/>
  <c r="G258" i="1"/>
  <c r="H258" i="1"/>
  <c r="I258" i="1"/>
  <c r="J258" i="1"/>
  <c r="K258" i="1"/>
  <c r="L258" i="1"/>
  <c r="M258" i="1"/>
  <c r="O258" i="1"/>
  <c r="P258" i="1"/>
  <c r="A259" i="1"/>
  <c r="B259" i="1"/>
  <c r="D259" i="1"/>
  <c r="E259" i="1"/>
  <c r="F259" i="1"/>
  <c r="G259" i="1"/>
  <c r="H259" i="1"/>
  <c r="I259" i="1"/>
  <c r="J259" i="1"/>
  <c r="K259" i="1"/>
  <c r="L259" i="1"/>
  <c r="M259" i="1"/>
  <c r="O259" i="1"/>
  <c r="P259" i="1"/>
  <c r="A260" i="1"/>
  <c r="B260" i="1"/>
  <c r="D260" i="1"/>
  <c r="E260" i="1"/>
  <c r="F260" i="1"/>
  <c r="G260" i="1"/>
  <c r="H260" i="1"/>
  <c r="I260" i="1"/>
  <c r="J260" i="1"/>
  <c r="K260" i="1"/>
  <c r="L260" i="1"/>
  <c r="M260" i="1"/>
  <c r="O260" i="1"/>
  <c r="P260" i="1"/>
  <c r="A261" i="1"/>
  <c r="B261" i="1"/>
  <c r="D261" i="1"/>
  <c r="E261" i="1"/>
  <c r="F261" i="1"/>
  <c r="G261" i="1"/>
  <c r="H261" i="1"/>
  <c r="I261" i="1"/>
  <c r="J261" i="1"/>
  <c r="K261" i="1"/>
  <c r="L261" i="1"/>
  <c r="M261" i="1"/>
  <c r="O261" i="1"/>
  <c r="P261" i="1"/>
  <c r="A262" i="1"/>
  <c r="B262" i="1"/>
  <c r="D262" i="1"/>
  <c r="E262" i="1"/>
  <c r="F262" i="1"/>
  <c r="G262" i="1"/>
  <c r="H262" i="1"/>
  <c r="I262" i="1"/>
  <c r="J262" i="1"/>
  <c r="K262" i="1"/>
  <c r="L262" i="1"/>
  <c r="M262" i="1"/>
  <c r="O262" i="1"/>
  <c r="P262" i="1"/>
  <c r="A263" i="1"/>
  <c r="B263" i="1"/>
  <c r="D263" i="1"/>
  <c r="E263" i="1"/>
  <c r="F263" i="1"/>
  <c r="G263" i="1"/>
  <c r="H263" i="1"/>
  <c r="I263" i="1"/>
  <c r="J263" i="1"/>
  <c r="K263" i="1"/>
  <c r="L263" i="1"/>
  <c r="M263" i="1"/>
  <c r="O263" i="1"/>
  <c r="P263" i="1"/>
  <c r="A264" i="1"/>
  <c r="B264" i="1"/>
  <c r="D264" i="1"/>
  <c r="E264" i="1"/>
  <c r="F264" i="1"/>
  <c r="G264" i="1"/>
  <c r="H264" i="1"/>
  <c r="I264" i="1"/>
  <c r="J264" i="1"/>
  <c r="K264" i="1"/>
  <c r="L264" i="1"/>
  <c r="M264" i="1"/>
  <c r="O264" i="1"/>
  <c r="P264" i="1"/>
  <c r="A265" i="1"/>
  <c r="B265" i="1"/>
  <c r="D265" i="1"/>
  <c r="E265" i="1"/>
  <c r="F265" i="1"/>
  <c r="G265" i="1"/>
  <c r="H265" i="1"/>
  <c r="I265" i="1"/>
  <c r="J265" i="1"/>
  <c r="K265" i="1"/>
  <c r="L265" i="1"/>
  <c r="M265" i="1"/>
  <c r="O265" i="1"/>
  <c r="P265" i="1"/>
  <c r="A266" i="1"/>
  <c r="B266" i="1"/>
  <c r="D266" i="1"/>
  <c r="E266" i="1"/>
  <c r="F266" i="1"/>
  <c r="G266" i="1"/>
  <c r="H266" i="1"/>
  <c r="I266" i="1"/>
  <c r="J266" i="1"/>
  <c r="K266" i="1"/>
  <c r="L266" i="1"/>
  <c r="M266" i="1"/>
  <c r="O266" i="1"/>
  <c r="P266" i="1"/>
  <c r="A267" i="1"/>
  <c r="B267" i="1"/>
  <c r="D267" i="1"/>
  <c r="E267" i="1"/>
  <c r="F267" i="1"/>
  <c r="G267" i="1"/>
  <c r="H267" i="1"/>
  <c r="I267" i="1"/>
  <c r="J267" i="1"/>
  <c r="K267" i="1"/>
  <c r="L267" i="1"/>
  <c r="M267" i="1"/>
  <c r="O267" i="1"/>
  <c r="P267" i="1"/>
  <c r="A268" i="1"/>
  <c r="B268" i="1"/>
  <c r="D268" i="1"/>
  <c r="E268" i="1"/>
  <c r="F268" i="1"/>
  <c r="G268" i="1"/>
  <c r="H268" i="1"/>
  <c r="I268" i="1"/>
  <c r="J268" i="1"/>
  <c r="K268" i="1"/>
  <c r="L268" i="1"/>
  <c r="M268" i="1"/>
  <c r="O268" i="1"/>
  <c r="P268" i="1"/>
  <c r="A269" i="1"/>
  <c r="B269" i="1"/>
  <c r="D269" i="1"/>
  <c r="E269" i="1"/>
  <c r="F269" i="1"/>
  <c r="G269" i="1"/>
  <c r="H269" i="1"/>
  <c r="I269" i="1"/>
  <c r="J269" i="1"/>
  <c r="K269" i="1"/>
  <c r="L269" i="1"/>
  <c r="M269" i="1"/>
  <c r="O269" i="1"/>
  <c r="P269" i="1"/>
  <c r="A270" i="1"/>
  <c r="B270" i="1"/>
  <c r="D270" i="1"/>
  <c r="E270" i="1"/>
  <c r="F270" i="1"/>
  <c r="G270" i="1"/>
  <c r="H270" i="1"/>
  <c r="I270" i="1"/>
  <c r="J270" i="1"/>
  <c r="K270" i="1"/>
  <c r="L270" i="1"/>
  <c r="M270" i="1"/>
  <c r="O270" i="1"/>
  <c r="P270" i="1"/>
  <c r="A271" i="1"/>
  <c r="B271" i="1"/>
  <c r="D271" i="1"/>
  <c r="E271" i="1"/>
  <c r="F271" i="1"/>
  <c r="G271" i="1"/>
  <c r="H271" i="1"/>
  <c r="I271" i="1"/>
  <c r="J271" i="1"/>
  <c r="K271" i="1"/>
  <c r="L271" i="1"/>
  <c r="M271" i="1"/>
  <c r="O271" i="1"/>
  <c r="P271" i="1"/>
  <c r="A272" i="1"/>
  <c r="B272" i="1"/>
  <c r="D272" i="1"/>
  <c r="E272" i="1"/>
  <c r="F272" i="1"/>
  <c r="G272" i="1"/>
  <c r="H272" i="1"/>
  <c r="I272" i="1"/>
  <c r="J272" i="1"/>
  <c r="K272" i="1"/>
  <c r="L272" i="1"/>
  <c r="M272" i="1"/>
  <c r="O272" i="1"/>
  <c r="P272" i="1"/>
  <c r="A273" i="1"/>
  <c r="B273" i="1"/>
  <c r="D273" i="1"/>
  <c r="E273" i="1"/>
  <c r="F273" i="1"/>
  <c r="G273" i="1"/>
  <c r="H273" i="1"/>
  <c r="I273" i="1"/>
  <c r="J273" i="1"/>
  <c r="K273" i="1"/>
  <c r="L273" i="1"/>
  <c r="M273" i="1"/>
  <c r="O273" i="1"/>
  <c r="P273" i="1"/>
  <c r="A274" i="1"/>
  <c r="B274" i="1"/>
  <c r="D274" i="1"/>
  <c r="E274" i="1"/>
  <c r="F274" i="1"/>
  <c r="G274" i="1"/>
  <c r="H274" i="1"/>
  <c r="I274" i="1"/>
  <c r="J274" i="1"/>
  <c r="K274" i="1"/>
  <c r="L274" i="1"/>
  <c r="M274" i="1"/>
  <c r="O274" i="1"/>
  <c r="P274" i="1"/>
  <c r="A275" i="1"/>
  <c r="B275" i="1"/>
  <c r="D275" i="1"/>
  <c r="E275" i="1"/>
  <c r="F275" i="1"/>
  <c r="G275" i="1"/>
  <c r="H275" i="1"/>
  <c r="I275" i="1"/>
  <c r="J275" i="1"/>
  <c r="K275" i="1"/>
  <c r="L275" i="1"/>
  <c r="M275" i="1"/>
  <c r="O275" i="1"/>
  <c r="P275" i="1"/>
  <c r="A276" i="1"/>
  <c r="B276" i="1"/>
  <c r="D276" i="1"/>
  <c r="E276" i="1"/>
  <c r="F276" i="1"/>
  <c r="G276" i="1"/>
  <c r="H276" i="1"/>
  <c r="I276" i="1"/>
  <c r="J276" i="1"/>
  <c r="K276" i="1"/>
  <c r="L276" i="1"/>
  <c r="M276" i="1"/>
  <c r="O276" i="1"/>
  <c r="P276" i="1"/>
  <c r="A277" i="1"/>
  <c r="B277" i="1"/>
  <c r="D277" i="1"/>
  <c r="E277" i="1"/>
  <c r="F277" i="1"/>
  <c r="G277" i="1"/>
  <c r="H277" i="1"/>
  <c r="I277" i="1"/>
  <c r="J277" i="1"/>
  <c r="K277" i="1"/>
  <c r="L277" i="1"/>
  <c r="M277" i="1"/>
  <c r="O277" i="1"/>
  <c r="P277" i="1"/>
  <c r="A278" i="1"/>
  <c r="B278" i="1"/>
  <c r="D278" i="1"/>
  <c r="E278" i="1"/>
  <c r="F278" i="1"/>
  <c r="G278" i="1"/>
  <c r="H278" i="1"/>
  <c r="I278" i="1"/>
  <c r="J278" i="1"/>
  <c r="K278" i="1"/>
  <c r="L278" i="1"/>
  <c r="M278" i="1"/>
  <c r="O278" i="1"/>
  <c r="P278" i="1"/>
  <c r="A279" i="1"/>
  <c r="B279" i="1"/>
  <c r="D279" i="1"/>
  <c r="E279" i="1"/>
  <c r="F279" i="1"/>
  <c r="G279" i="1"/>
  <c r="H279" i="1"/>
  <c r="I279" i="1"/>
  <c r="J279" i="1"/>
  <c r="K279" i="1"/>
  <c r="L279" i="1"/>
  <c r="M279" i="1"/>
  <c r="O279" i="1"/>
  <c r="P279" i="1"/>
  <c r="A280" i="1"/>
  <c r="B280" i="1"/>
  <c r="D280" i="1"/>
  <c r="E280" i="1"/>
  <c r="F280" i="1"/>
  <c r="G280" i="1"/>
  <c r="H280" i="1"/>
  <c r="I280" i="1"/>
  <c r="J280" i="1"/>
  <c r="K280" i="1"/>
  <c r="L280" i="1"/>
  <c r="M280" i="1"/>
  <c r="O280" i="1"/>
  <c r="P280" i="1"/>
  <c r="A281" i="1"/>
  <c r="B281" i="1"/>
  <c r="D281" i="1"/>
  <c r="E281" i="1"/>
  <c r="F281" i="1"/>
  <c r="G281" i="1"/>
  <c r="H281" i="1"/>
  <c r="I281" i="1"/>
  <c r="J281" i="1"/>
  <c r="K281" i="1"/>
  <c r="L281" i="1"/>
  <c r="M281" i="1"/>
  <c r="O281" i="1"/>
  <c r="P281" i="1"/>
  <c r="A282" i="1"/>
  <c r="B282" i="1"/>
  <c r="D282" i="1"/>
  <c r="E282" i="1"/>
  <c r="F282" i="1"/>
  <c r="G282" i="1"/>
  <c r="H282" i="1"/>
  <c r="I282" i="1"/>
  <c r="J282" i="1"/>
  <c r="K282" i="1"/>
  <c r="L282" i="1"/>
  <c r="M282" i="1"/>
  <c r="O282" i="1"/>
  <c r="P282" i="1"/>
  <c r="A283" i="1"/>
  <c r="B283" i="1"/>
  <c r="D283" i="1"/>
  <c r="E283" i="1"/>
  <c r="F283" i="1"/>
  <c r="G283" i="1"/>
  <c r="H283" i="1"/>
  <c r="I283" i="1"/>
  <c r="J283" i="1"/>
  <c r="K283" i="1"/>
  <c r="L283" i="1"/>
  <c r="M283" i="1"/>
  <c r="O283" i="1"/>
  <c r="P283" i="1"/>
  <c r="A284" i="1"/>
  <c r="B284" i="1"/>
  <c r="D284" i="1"/>
  <c r="E284" i="1"/>
  <c r="F284" i="1"/>
  <c r="G284" i="1"/>
  <c r="H284" i="1"/>
  <c r="I284" i="1"/>
  <c r="J284" i="1"/>
  <c r="K284" i="1"/>
  <c r="L284" i="1"/>
  <c r="M284" i="1"/>
  <c r="O284" i="1"/>
  <c r="P284" i="1"/>
  <c r="A285" i="1"/>
  <c r="B285" i="1"/>
  <c r="D285" i="1"/>
  <c r="E285" i="1"/>
  <c r="F285" i="1"/>
  <c r="G285" i="1"/>
  <c r="H285" i="1"/>
  <c r="I285" i="1"/>
  <c r="J285" i="1"/>
  <c r="K285" i="1"/>
  <c r="L285" i="1"/>
  <c r="M285" i="1"/>
  <c r="O285" i="1"/>
  <c r="P285" i="1"/>
  <c r="A286" i="1"/>
  <c r="B286" i="1"/>
  <c r="D286" i="1"/>
  <c r="E286" i="1"/>
  <c r="F286" i="1"/>
  <c r="G286" i="1"/>
  <c r="H286" i="1"/>
  <c r="I286" i="1"/>
  <c r="J286" i="1"/>
  <c r="K286" i="1"/>
  <c r="L286" i="1"/>
  <c r="M286" i="1"/>
  <c r="O286" i="1"/>
  <c r="P286" i="1"/>
  <c r="A287" i="1"/>
  <c r="B287" i="1"/>
  <c r="D287" i="1"/>
  <c r="E287" i="1"/>
  <c r="F287" i="1"/>
  <c r="G287" i="1"/>
  <c r="H287" i="1"/>
  <c r="I287" i="1"/>
  <c r="J287" i="1"/>
  <c r="K287" i="1"/>
  <c r="L287" i="1"/>
  <c r="M287" i="1"/>
  <c r="O287" i="1"/>
  <c r="P287" i="1"/>
  <c r="A288" i="1"/>
  <c r="B288" i="1"/>
  <c r="D288" i="1"/>
  <c r="E288" i="1"/>
  <c r="F288" i="1"/>
  <c r="G288" i="1"/>
  <c r="H288" i="1"/>
  <c r="I288" i="1"/>
  <c r="J288" i="1"/>
  <c r="K288" i="1"/>
  <c r="L288" i="1"/>
  <c r="M288" i="1"/>
  <c r="O288" i="1"/>
  <c r="P288" i="1"/>
  <c r="A289" i="1"/>
  <c r="B289" i="1"/>
  <c r="D289" i="1"/>
  <c r="E289" i="1"/>
  <c r="F289" i="1"/>
  <c r="G289" i="1"/>
  <c r="H289" i="1"/>
  <c r="I289" i="1"/>
  <c r="J289" i="1"/>
  <c r="K289" i="1"/>
  <c r="L289" i="1"/>
  <c r="M289" i="1"/>
  <c r="O289" i="1"/>
  <c r="P289" i="1"/>
  <c r="A290" i="1"/>
  <c r="B290" i="1"/>
  <c r="D290" i="1"/>
  <c r="E290" i="1"/>
  <c r="F290" i="1"/>
  <c r="G290" i="1"/>
  <c r="H290" i="1"/>
  <c r="I290" i="1"/>
  <c r="J290" i="1"/>
  <c r="K290" i="1"/>
  <c r="L290" i="1"/>
  <c r="M290" i="1"/>
  <c r="O290" i="1"/>
  <c r="P290" i="1"/>
  <c r="A291" i="1"/>
  <c r="B291" i="1"/>
  <c r="D291" i="1"/>
  <c r="E291" i="1"/>
  <c r="F291" i="1"/>
  <c r="G291" i="1"/>
  <c r="H291" i="1"/>
  <c r="I291" i="1"/>
  <c r="J291" i="1"/>
  <c r="K291" i="1"/>
  <c r="L291" i="1"/>
  <c r="M291" i="1"/>
  <c r="O291" i="1"/>
  <c r="P291" i="1"/>
  <c r="A292" i="1"/>
  <c r="B292" i="1"/>
  <c r="D292" i="1"/>
  <c r="E292" i="1"/>
  <c r="F292" i="1"/>
  <c r="G292" i="1"/>
  <c r="H292" i="1"/>
  <c r="I292" i="1"/>
  <c r="J292" i="1"/>
  <c r="K292" i="1"/>
  <c r="L292" i="1"/>
  <c r="M292" i="1"/>
  <c r="O292" i="1"/>
  <c r="P292" i="1"/>
  <c r="A293" i="1"/>
  <c r="B293" i="1"/>
  <c r="D293" i="1"/>
  <c r="E293" i="1"/>
  <c r="F293" i="1"/>
  <c r="G293" i="1"/>
  <c r="H293" i="1"/>
  <c r="I293" i="1"/>
  <c r="J293" i="1"/>
  <c r="K293" i="1"/>
  <c r="L293" i="1"/>
  <c r="M293" i="1"/>
  <c r="O293" i="1"/>
  <c r="P293" i="1"/>
  <c r="A294" i="1"/>
  <c r="B294" i="1"/>
  <c r="D294" i="1"/>
  <c r="E294" i="1"/>
  <c r="F294" i="1"/>
  <c r="G294" i="1"/>
  <c r="H294" i="1"/>
  <c r="I294" i="1"/>
  <c r="J294" i="1"/>
  <c r="K294" i="1"/>
  <c r="L294" i="1"/>
  <c r="M294" i="1"/>
  <c r="O294" i="1"/>
  <c r="P294" i="1"/>
  <c r="A295" i="1"/>
  <c r="B295" i="1"/>
  <c r="D295" i="1"/>
  <c r="E295" i="1"/>
  <c r="F295" i="1"/>
  <c r="G295" i="1"/>
  <c r="H295" i="1"/>
  <c r="I295" i="1"/>
  <c r="J295" i="1"/>
  <c r="K295" i="1"/>
  <c r="L295" i="1"/>
  <c r="M295" i="1"/>
  <c r="O295" i="1"/>
  <c r="P295" i="1"/>
  <c r="A296" i="1"/>
  <c r="B296" i="1"/>
  <c r="D296" i="1"/>
  <c r="E296" i="1"/>
  <c r="F296" i="1"/>
  <c r="G296" i="1"/>
  <c r="H296" i="1"/>
  <c r="I296" i="1"/>
  <c r="J296" i="1"/>
  <c r="K296" i="1"/>
  <c r="L296" i="1"/>
  <c r="M296" i="1"/>
  <c r="O296" i="1"/>
  <c r="P296" i="1"/>
  <c r="A297" i="1"/>
  <c r="B297" i="1"/>
  <c r="D297" i="1"/>
  <c r="E297" i="1"/>
  <c r="F297" i="1"/>
  <c r="G297" i="1"/>
  <c r="H297" i="1"/>
  <c r="I297" i="1"/>
  <c r="J297" i="1"/>
  <c r="K297" i="1"/>
  <c r="L297" i="1"/>
  <c r="M297" i="1"/>
  <c r="O297" i="1"/>
  <c r="P297" i="1"/>
  <c r="A298" i="1"/>
  <c r="B298" i="1"/>
  <c r="D298" i="1"/>
  <c r="E298" i="1"/>
  <c r="F298" i="1"/>
  <c r="G298" i="1"/>
  <c r="H298" i="1"/>
  <c r="I298" i="1"/>
  <c r="J298" i="1"/>
  <c r="K298" i="1"/>
  <c r="L298" i="1"/>
  <c r="M298" i="1"/>
  <c r="O298" i="1"/>
  <c r="P298" i="1"/>
  <c r="A299" i="1"/>
  <c r="B299" i="1"/>
  <c r="D299" i="1"/>
  <c r="E299" i="1"/>
  <c r="F299" i="1"/>
  <c r="G299" i="1"/>
  <c r="H299" i="1"/>
  <c r="I299" i="1"/>
  <c r="J299" i="1"/>
  <c r="K299" i="1"/>
  <c r="L299" i="1"/>
  <c r="M299" i="1"/>
  <c r="O299" i="1"/>
  <c r="P299" i="1"/>
  <c r="A300" i="1"/>
  <c r="B300" i="1"/>
  <c r="D300" i="1"/>
  <c r="E300" i="1"/>
  <c r="F300" i="1"/>
  <c r="G300" i="1"/>
  <c r="H300" i="1"/>
  <c r="I300" i="1"/>
  <c r="J300" i="1"/>
  <c r="K300" i="1"/>
  <c r="L300" i="1"/>
  <c r="M300" i="1"/>
  <c r="O300" i="1"/>
  <c r="P300" i="1"/>
  <c r="A301" i="1"/>
  <c r="B301" i="1"/>
  <c r="D301" i="1"/>
  <c r="E301" i="1"/>
  <c r="F301" i="1"/>
  <c r="G301" i="1"/>
  <c r="H301" i="1"/>
  <c r="I301" i="1"/>
  <c r="J301" i="1"/>
  <c r="K301" i="1"/>
  <c r="L301" i="1"/>
  <c r="M301" i="1"/>
  <c r="O301" i="1"/>
  <c r="P301" i="1"/>
  <c r="A302" i="1"/>
  <c r="B302" i="1"/>
  <c r="D302" i="1"/>
  <c r="E302" i="1"/>
  <c r="F302" i="1"/>
  <c r="G302" i="1"/>
  <c r="H302" i="1"/>
  <c r="I302" i="1"/>
  <c r="J302" i="1"/>
  <c r="K302" i="1"/>
  <c r="L302" i="1"/>
  <c r="M302" i="1"/>
  <c r="O302" i="1"/>
  <c r="P302" i="1"/>
  <c r="A303" i="1"/>
  <c r="B303" i="1"/>
  <c r="D303" i="1"/>
  <c r="E303" i="1"/>
  <c r="F303" i="1"/>
  <c r="G303" i="1"/>
  <c r="H303" i="1"/>
  <c r="I303" i="1"/>
  <c r="J303" i="1"/>
  <c r="K303" i="1"/>
  <c r="L303" i="1"/>
  <c r="M303" i="1"/>
  <c r="O303" i="1"/>
  <c r="P303" i="1"/>
  <c r="A304" i="1"/>
  <c r="B304" i="1"/>
  <c r="D304" i="1"/>
  <c r="E304" i="1"/>
  <c r="F304" i="1"/>
  <c r="G304" i="1"/>
  <c r="H304" i="1"/>
  <c r="I304" i="1"/>
  <c r="J304" i="1"/>
  <c r="K304" i="1"/>
  <c r="L304" i="1"/>
  <c r="M304" i="1"/>
  <c r="O304" i="1"/>
  <c r="P304" i="1"/>
  <c r="A305" i="1"/>
  <c r="B305" i="1"/>
  <c r="D305" i="1"/>
  <c r="E305" i="1"/>
  <c r="F305" i="1"/>
  <c r="G305" i="1"/>
  <c r="H305" i="1"/>
  <c r="I305" i="1"/>
  <c r="J305" i="1"/>
  <c r="K305" i="1"/>
  <c r="L305" i="1"/>
  <c r="M305" i="1"/>
  <c r="O305" i="1"/>
  <c r="P305" i="1"/>
  <c r="A306" i="1"/>
  <c r="B306" i="1"/>
  <c r="D306" i="1"/>
  <c r="E306" i="1"/>
  <c r="F306" i="1"/>
  <c r="G306" i="1"/>
  <c r="H306" i="1"/>
  <c r="I306" i="1"/>
  <c r="J306" i="1"/>
  <c r="K306" i="1"/>
  <c r="L306" i="1"/>
  <c r="M306" i="1"/>
  <c r="O306" i="1"/>
  <c r="P306" i="1"/>
  <c r="A307" i="1"/>
  <c r="B307" i="1"/>
  <c r="D307" i="1"/>
  <c r="E307" i="1"/>
  <c r="F307" i="1"/>
  <c r="G307" i="1"/>
  <c r="H307" i="1"/>
  <c r="I307" i="1"/>
  <c r="J307" i="1"/>
  <c r="K307" i="1"/>
  <c r="L307" i="1"/>
  <c r="M307" i="1"/>
  <c r="O307" i="1"/>
  <c r="P307" i="1"/>
  <c r="A308" i="1"/>
  <c r="B308" i="1"/>
  <c r="D308" i="1"/>
  <c r="E308" i="1"/>
  <c r="F308" i="1"/>
  <c r="G308" i="1"/>
  <c r="H308" i="1"/>
  <c r="I308" i="1"/>
  <c r="J308" i="1"/>
  <c r="K308" i="1"/>
  <c r="L308" i="1"/>
  <c r="M308" i="1"/>
  <c r="O308" i="1"/>
  <c r="P308" i="1"/>
  <c r="A309" i="1"/>
  <c r="B309" i="1"/>
  <c r="D309" i="1"/>
  <c r="E309" i="1"/>
  <c r="F309" i="1"/>
  <c r="G309" i="1"/>
  <c r="H309" i="1"/>
  <c r="I309" i="1"/>
  <c r="J309" i="1"/>
  <c r="K309" i="1"/>
  <c r="L309" i="1"/>
  <c r="M309" i="1"/>
  <c r="O309" i="1"/>
  <c r="P309" i="1"/>
  <c r="A310" i="1"/>
  <c r="B310" i="1"/>
  <c r="D310" i="1"/>
  <c r="E310" i="1"/>
  <c r="F310" i="1"/>
  <c r="G310" i="1"/>
  <c r="H310" i="1"/>
  <c r="I310" i="1"/>
  <c r="J310" i="1"/>
  <c r="K310" i="1"/>
  <c r="L310" i="1"/>
  <c r="M310" i="1"/>
  <c r="O310" i="1"/>
  <c r="P310" i="1"/>
  <c r="A311" i="1"/>
  <c r="B311" i="1"/>
  <c r="D311" i="1"/>
  <c r="E311" i="1"/>
  <c r="F311" i="1"/>
  <c r="G311" i="1"/>
  <c r="H311" i="1"/>
  <c r="I311" i="1"/>
  <c r="J311" i="1"/>
  <c r="K311" i="1"/>
  <c r="L311" i="1"/>
  <c r="M311" i="1"/>
  <c r="O311" i="1"/>
  <c r="P311" i="1"/>
  <c r="A312" i="1"/>
  <c r="B312" i="1"/>
  <c r="D312" i="1"/>
  <c r="E312" i="1"/>
  <c r="F312" i="1"/>
  <c r="G312" i="1"/>
  <c r="H312" i="1"/>
  <c r="I312" i="1"/>
  <c r="J312" i="1"/>
  <c r="K312" i="1"/>
  <c r="L312" i="1"/>
  <c r="M312" i="1"/>
  <c r="O312" i="1"/>
  <c r="P312" i="1"/>
  <c r="A313" i="1"/>
  <c r="B313" i="1"/>
  <c r="D313" i="1"/>
  <c r="E313" i="1"/>
  <c r="F313" i="1"/>
  <c r="G313" i="1"/>
  <c r="H313" i="1"/>
  <c r="I313" i="1"/>
  <c r="J313" i="1"/>
  <c r="K313" i="1"/>
  <c r="L313" i="1"/>
  <c r="M313" i="1"/>
  <c r="O313" i="1"/>
  <c r="P313" i="1"/>
  <c r="A314" i="1"/>
  <c r="B314" i="1"/>
  <c r="D314" i="1"/>
  <c r="E314" i="1"/>
  <c r="F314" i="1"/>
  <c r="G314" i="1"/>
  <c r="H314" i="1"/>
  <c r="I314" i="1"/>
  <c r="J314" i="1"/>
  <c r="K314" i="1"/>
  <c r="L314" i="1"/>
  <c r="M314" i="1"/>
  <c r="O314" i="1"/>
  <c r="P314" i="1"/>
  <c r="A315" i="1"/>
  <c r="B315" i="1"/>
  <c r="D315" i="1"/>
  <c r="E315" i="1"/>
  <c r="F315" i="1"/>
  <c r="G315" i="1"/>
  <c r="H315" i="1"/>
  <c r="I315" i="1"/>
  <c r="J315" i="1"/>
  <c r="K315" i="1"/>
  <c r="L315" i="1"/>
  <c r="M315" i="1"/>
  <c r="O315" i="1"/>
  <c r="P315" i="1"/>
  <c r="A316" i="1"/>
  <c r="B316" i="1"/>
  <c r="D316" i="1"/>
  <c r="E316" i="1"/>
  <c r="F316" i="1"/>
  <c r="G316" i="1"/>
  <c r="H316" i="1"/>
  <c r="I316" i="1"/>
  <c r="J316" i="1"/>
  <c r="K316" i="1"/>
  <c r="L316" i="1"/>
  <c r="M316" i="1"/>
  <c r="O316" i="1"/>
  <c r="P316" i="1"/>
  <c r="A317" i="1"/>
  <c r="B317" i="1"/>
  <c r="D317" i="1"/>
  <c r="E317" i="1"/>
  <c r="F317" i="1"/>
  <c r="G317" i="1"/>
  <c r="H317" i="1"/>
  <c r="I317" i="1"/>
  <c r="J317" i="1"/>
  <c r="K317" i="1"/>
  <c r="L317" i="1"/>
  <c r="M317" i="1"/>
  <c r="O317" i="1"/>
  <c r="P317" i="1"/>
  <c r="A318" i="1"/>
  <c r="B318" i="1"/>
  <c r="D318" i="1"/>
  <c r="E318" i="1"/>
  <c r="F318" i="1"/>
  <c r="G318" i="1"/>
  <c r="H318" i="1"/>
  <c r="I318" i="1"/>
  <c r="J318" i="1"/>
  <c r="K318" i="1"/>
  <c r="L318" i="1"/>
  <c r="M318" i="1"/>
  <c r="O318" i="1"/>
  <c r="P318" i="1"/>
  <c r="A319" i="1"/>
  <c r="B319" i="1"/>
  <c r="D319" i="1"/>
  <c r="E319" i="1"/>
  <c r="F319" i="1"/>
  <c r="G319" i="1"/>
  <c r="H319" i="1"/>
  <c r="I319" i="1"/>
  <c r="J319" i="1"/>
  <c r="K319" i="1"/>
  <c r="L319" i="1"/>
  <c r="M319" i="1"/>
  <c r="O319" i="1"/>
  <c r="P319" i="1"/>
  <c r="A320" i="1"/>
  <c r="B320" i="1"/>
  <c r="D320" i="1"/>
  <c r="E320" i="1"/>
  <c r="F320" i="1"/>
  <c r="G320" i="1"/>
  <c r="H320" i="1"/>
  <c r="I320" i="1"/>
  <c r="J320" i="1"/>
  <c r="K320" i="1"/>
  <c r="L320" i="1"/>
  <c r="M320" i="1"/>
  <c r="O320" i="1"/>
  <c r="P320" i="1"/>
  <c r="A321" i="1"/>
  <c r="B321" i="1"/>
  <c r="D321" i="1"/>
  <c r="E321" i="1"/>
  <c r="F321" i="1"/>
  <c r="G321" i="1"/>
  <c r="H321" i="1"/>
  <c r="I321" i="1"/>
  <c r="J321" i="1"/>
  <c r="K321" i="1"/>
  <c r="L321" i="1"/>
  <c r="M321" i="1"/>
  <c r="O321" i="1"/>
  <c r="P321" i="1"/>
  <c r="A322" i="1"/>
  <c r="B322" i="1"/>
  <c r="D322" i="1"/>
  <c r="E322" i="1"/>
  <c r="F322" i="1"/>
  <c r="G322" i="1"/>
  <c r="H322" i="1"/>
  <c r="I322" i="1"/>
  <c r="J322" i="1"/>
  <c r="K322" i="1"/>
  <c r="L322" i="1"/>
  <c r="M322" i="1"/>
  <c r="O322" i="1"/>
  <c r="P322" i="1"/>
  <c r="A323" i="1"/>
  <c r="B323" i="1"/>
  <c r="D323" i="1"/>
  <c r="E323" i="1"/>
  <c r="F323" i="1"/>
  <c r="G323" i="1"/>
  <c r="H323" i="1"/>
  <c r="I323" i="1"/>
  <c r="J323" i="1"/>
  <c r="K323" i="1"/>
  <c r="L323" i="1"/>
  <c r="M323" i="1"/>
  <c r="O323" i="1"/>
  <c r="P323" i="1"/>
  <c r="A324" i="1"/>
  <c r="B324" i="1"/>
  <c r="D324" i="1"/>
  <c r="E324" i="1"/>
  <c r="F324" i="1"/>
  <c r="G324" i="1"/>
  <c r="H324" i="1"/>
  <c r="I324" i="1"/>
  <c r="J324" i="1"/>
  <c r="K324" i="1"/>
  <c r="L324" i="1"/>
  <c r="M324" i="1"/>
  <c r="O324" i="1"/>
  <c r="P324" i="1"/>
  <c r="A325" i="1"/>
  <c r="B325" i="1"/>
  <c r="D325" i="1"/>
  <c r="E325" i="1"/>
  <c r="F325" i="1"/>
  <c r="G325" i="1"/>
  <c r="H325" i="1"/>
  <c r="I325" i="1"/>
  <c r="J325" i="1"/>
  <c r="K325" i="1"/>
  <c r="L325" i="1"/>
  <c r="M325" i="1"/>
  <c r="O325" i="1"/>
  <c r="P325" i="1"/>
  <c r="A326" i="1"/>
  <c r="B326" i="1"/>
  <c r="D326" i="1"/>
  <c r="E326" i="1"/>
  <c r="F326" i="1"/>
  <c r="G326" i="1"/>
  <c r="H326" i="1"/>
  <c r="I326" i="1"/>
  <c r="J326" i="1"/>
  <c r="K326" i="1"/>
  <c r="L326" i="1"/>
  <c r="M326" i="1"/>
  <c r="O326" i="1"/>
  <c r="P326" i="1"/>
  <c r="A327" i="1"/>
  <c r="B327" i="1"/>
  <c r="D327" i="1"/>
  <c r="E327" i="1"/>
  <c r="F327" i="1"/>
  <c r="G327" i="1"/>
  <c r="H327" i="1"/>
  <c r="I327" i="1"/>
  <c r="J327" i="1"/>
  <c r="K327" i="1"/>
  <c r="L327" i="1"/>
  <c r="M327" i="1"/>
  <c r="O327" i="1"/>
  <c r="P327" i="1"/>
  <c r="A328" i="1"/>
  <c r="B328" i="1"/>
  <c r="D328" i="1"/>
  <c r="E328" i="1"/>
  <c r="F328" i="1"/>
  <c r="G328" i="1"/>
  <c r="H328" i="1"/>
  <c r="I328" i="1"/>
  <c r="J328" i="1"/>
  <c r="K328" i="1"/>
  <c r="L328" i="1"/>
  <c r="M328" i="1"/>
  <c r="O328" i="1"/>
  <c r="P328" i="1"/>
  <c r="A329" i="1"/>
  <c r="B329" i="1"/>
  <c r="D329" i="1"/>
  <c r="E329" i="1"/>
  <c r="F329" i="1"/>
  <c r="G329" i="1"/>
  <c r="H329" i="1"/>
  <c r="I329" i="1"/>
  <c r="J329" i="1"/>
  <c r="K329" i="1"/>
  <c r="L329" i="1"/>
  <c r="M329" i="1"/>
  <c r="O329" i="1"/>
  <c r="P329" i="1"/>
  <c r="A330" i="1"/>
  <c r="B330" i="1"/>
  <c r="D330" i="1"/>
  <c r="E330" i="1"/>
  <c r="F330" i="1"/>
  <c r="G330" i="1"/>
  <c r="H330" i="1"/>
  <c r="I330" i="1"/>
  <c r="J330" i="1"/>
  <c r="K330" i="1"/>
  <c r="L330" i="1"/>
  <c r="M330" i="1"/>
  <c r="O330" i="1"/>
  <c r="P330" i="1"/>
  <c r="A331" i="1"/>
  <c r="B331" i="1"/>
  <c r="D331" i="1"/>
  <c r="E331" i="1"/>
  <c r="F331" i="1"/>
  <c r="G331" i="1"/>
  <c r="H331" i="1"/>
  <c r="I331" i="1"/>
  <c r="J331" i="1"/>
  <c r="K331" i="1"/>
  <c r="L331" i="1"/>
  <c r="M331" i="1"/>
  <c r="O331" i="1"/>
  <c r="P331" i="1"/>
  <c r="A332" i="1"/>
  <c r="B332" i="1"/>
  <c r="D332" i="1"/>
  <c r="E332" i="1"/>
  <c r="F332" i="1"/>
  <c r="G332" i="1"/>
  <c r="H332" i="1"/>
  <c r="I332" i="1"/>
  <c r="J332" i="1"/>
  <c r="K332" i="1"/>
  <c r="L332" i="1"/>
  <c r="M332" i="1"/>
  <c r="O332" i="1"/>
  <c r="P332" i="1"/>
  <c r="A333" i="1"/>
  <c r="B333" i="1"/>
  <c r="D333" i="1"/>
  <c r="E333" i="1"/>
  <c r="F333" i="1"/>
  <c r="G333" i="1"/>
  <c r="H333" i="1"/>
  <c r="I333" i="1"/>
  <c r="J333" i="1"/>
  <c r="K333" i="1"/>
  <c r="L333" i="1"/>
  <c r="M333" i="1"/>
  <c r="O333" i="1"/>
  <c r="P333" i="1"/>
  <c r="A334" i="1"/>
  <c r="B334" i="1"/>
  <c r="D334" i="1"/>
  <c r="E334" i="1"/>
  <c r="F334" i="1"/>
  <c r="G334" i="1"/>
  <c r="H334" i="1"/>
  <c r="I334" i="1"/>
  <c r="J334" i="1"/>
  <c r="K334" i="1"/>
  <c r="L334" i="1"/>
  <c r="M334" i="1"/>
  <c r="O334" i="1"/>
  <c r="P334" i="1"/>
  <c r="A335" i="1"/>
  <c r="B335" i="1"/>
  <c r="D335" i="1"/>
  <c r="E335" i="1"/>
  <c r="F335" i="1"/>
  <c r="G335" i="1"/>
  <c r="H335" i="1"/>
  <c r="I335" i="1"/>
  <c r="J335" i="1"/>
  <c r="K335" i="1"/>
  <c r="L335" i="1"/>
  <c r="M335" i="1"/>
  <c r="O335" i="1"/>
  <c r="P335" i="1"/>
  <c r="A336" i="1"/>
  <c r="B336" i="1"/>
  <c r="D336" i="1"/>
  <c r="E336" i="1"/>
  <c r="F336" i="1"/>
  <c r="G336" i="1"/>
  <c r="H336" i="1"/>
  <c r="I336" i="1"/>
  <c r="J336" i="1"/>
  <c r="K336" i="1"/>
  <c r="L336" i="1"/>
  <c r="M336" i="1"/>
  <c r="O336" i="1"/>
  <c r="P336" i="1"/>
  <c r="A337" i="1"/>
  <c r="B337" i="1"/>
  <c r="D337" i="1"/>
  <c r="E337" i="1"/>
  <c r="F337" i="1"/>
  <c r="G337" i="1"/>
  <c r="H337" i="1"/>
  <c r="I337" i="1"/>
  <c r="J337" i="1"/>
  <c r="K337" i="1"/>
  <c r="L337" i="1"/>
  <c r="M337" i="1"/>
  <c r="O337" i="1"/>
  <c r="P337" i="1"/>
  <c r="A338" i="1"/>
  <c r="B338" i="1"/>
  <c r="D338" i="1"/>
  <c r="E338" i="1"/>
  <c r="F338" i="1"/>
  <c r="G338" i="1"/>
  <c r="H338" i="1"/>
  <c r="I338" i="1"/>
  <c r="J338" i="1"/>
  <c r="K338" i="1"/>
  <c r="L338" i="1"/>
  <c r="M338" i="1"/>
  <c r="O338" i="1"/>
  <c r="P338" i="1"/>
  <c r="A339" i="1"/>
  <c r="B339" i="1"/>
  <c r="D339" i="1"/>
  <c r="E339" i="1"/>
  <c r="F339" i="1"/>
  <c r="G339" i="1"/>
  <c r="H339" i="1"/>
  <c r="I339" i="1"/>
  <c r="J339" i="1"/>
  <c r="K339" i="1"/>
  <c r="L339" i="1"/>
  <c r="M339" i="1"/>
  <c r="O339" i="1"/>
  <c r="P339" i="1"/>
  <c r="A340" i="1"/>
  <c r="B340" i="1"/>
  <c r="D340" i="1"/>
  <c r="E340" i="1"/>
  <c r="F340" i="1"/>
  <c r="G340" i="1"/>
  <c r="H340" i="1"/>
  <c r="I340" i="1"/>
  <c r="J340" i="1"/>
  <c r="K340" i="1"/>
  <c r="L340" i="1"/>
  <c r="M340" i="1"/>
  <c r="O340" i="1"/>
  <c r="P340" i="1"/>
  <c r="A341" i="1"/>
  <c r="B341" i="1"/>
  <c r="D341" i="1"/>
  <c r="E341" i="1"/>
  <c r="F341" i="1"/>
  <c r="G341" i="1"/>
  <c r="H341" i="1"/>
  <c r="I341" i="1"/>
  <c r="J341" i="1"/>
  <c r="K341" i="1"/>
  <c r="L341" i="1"/>
  <c r="M341" i="1"/>
  <c r="O341" i="1"/>
  <c r="P341" i="1"/>
  <c r="A342" i="1"/>
  <c r="B342" i="1"/>
  <c r="D342" i="1"/>
  <c r="E342" i="1"/>
  <c r="F342" i="1"/>
  <c r="G342" i="1"/>
  <c r="H342" i="1"/>
  <c r="I342" i="1"/>
  <c r="J342" i="1"/>
  <c r="K342" i="1"/>
  <c r="L342" i="1"/>
  <c r="M342" i="1"/>
  <c r="O342" i="1"/>
  <c r="P342" i="1"/>
  <c r="A343" i="1"/>
  <c r="B343" i="1"/>
  <c r="D343" i="1"/>
  <c r="E343" i="1"/>
  <c r="F343" i="1"/>
  <c r="G343" i="1"/>
  <c r="H343" i="1"/>
  <c r="I343" i="1"/>
  <c r="J343" i="1"/>
  <c r="K343" i="1"/>
  <c r="L343" i="1"/>
  <c r="M343" i="1"/>
  <c r="O343" i="1"/>
  <c r="P343" i="1"/>
  <c r="A344" i="1"/>
  <c r="B344" i="1"/>
  <c r="D344" i="1"/>
  <c r="E344" i="1"/>
  <c r="F344" i="1"/>
  <c r="G344" i="1"/>
  <c r="H344" i="1"/>
  <c r="I344" i="1"/>
  <c r="J344" i="1"/>
  <c r="K344" i="1"/>
  <c r="L344" i="1"/>
  <c r="M344" i="1"/>
  <c r="O344" i="1"/>
  <c r="P344" i="1"/>
  <c r="A345" i="1"/>
  <c r="B345" i="1"/>
  <c r="D345" i="1"/>
  <c r="E345" i="1"/>
  <c r="F345" i="1"/>
  <c r="G345" i="1"/>
  <c r="H345" i="1"/>
  <c r="I345" i="1"/>
  <c r="J345" i="1"/>
  <c r="K345" i="1"/>
  <c r="L345" i="1"/>
  <c r="M345" i="1"/>
  <c r="O345" i="1"/>
  <c r="P345" i="1"/>
  <c r="A346" i="1"/>
  <c r="B346" i="1"/>
  <c r="D346" i="1"/>
  <c r="E346" i="1"/>
  <c r="F346" i="1"/>
  <c r="G346" i="1"/>
  <c r="H346" i="1"/>
  <c r="I346" i="1"/>
  <c r="J346" i="1"/>
  <c r="K346" i="1"/>
  <c r="L346" i="1"/>
  <c r="M346" i="1"/>
  <c r="O346" i="1"/>
  <c r="P346" i="1"/>
  <c r="A347" i="1"/>
  <c r="B347" i="1"/>
  <c r="D347" i="1"/>
  <c r="E347" i="1"/>
  <c r="F347" i="1"/>
  <c r="G347" i="1"/>
  <c r="H347" i="1"/>
  <c r="I347" i="1"/>
  <c r="J347" i="1"/>
  <c r="K347" i="1"/>
  <c r="L347" i="1"/>
  <c r="M347" i="1"/>
  <c r="O347" i="1"/>
  <c r="P347" i="1"/>
  <c r="A348" i="1"/>
  <c r="B348" i="1"/>
  <c r="D348" i="1"/>
  <c r="E348" i="1"/>
  <c r="F348" i="1"/>
  <c r="G348" i="1"/>
  <c r="H348" i="1"/>
  <c r="I348" i="1"/>
  <c r="J348" i="1"/>
  <c r="K348" i="1"/>
  <c r="L348" i="1"/>
  <c r="M348" i="1"/>
  <c r="O348" i="1"/>
  <c r="P348" i="1"/>
  <c r="A349" i="1"/>
  <c r="B349" i="1"/>
  <c r="D349" i="1"/>
  <c r="E349" i="1"/>
  <c r="F349" i="1"/>
  <c r="G349" i="1"/>
  <c r="H349" i="1"/>
  <c r="I349" i="1"/>
  <c r="J349" i="1"/>
  <c r="K349" i="1"/>
  <c r="L349" i="1"/>
  <c r="M349" i="1"/>
  <c r="O349" i="1"/>
  <c r="P349" i="1"/>
  <c r="A350" i="1"/>
  <c r="B350" i="1"/>
  <c r="D350" i="1"/>
  <c r="E350" i="1"/>
  <c r="F350" i="1"/>
  <c r="G350" i="1"/>
  <c r="H350" i="1"/>
  <c r="I350" i="1"/>
  <c r="J350" i="1"/>
  <c r="K350" i="1"/>
  <c r="L350" i="1"/>
  <c r="M350" i="1"/>
  <c r="O350" i="1"/>
  <c r="P350" i="1"/>
  <c r="A351" i="1"/>
  <c r="B351" i="1"/>
  <c r="D351" i="1"/>
  <c r="E351" i="1"/>
  <c r="F351" i="1"/>
  <c r="G351" i="1"/>
  <c r="H351" i="1"/>
  <c r="I351" i="1"/>
  <c r="J351" i="1"/>
  <c r="K351" i="1"/>
  <c r="L351" i="1"/>
  <c r="M351" i="1"/>
  <c r="O351" i="1"/>
  <c r="P351" i="1"/>
  <c r="A352" i="1"/>
  <c r="B352" i="1"/>
  <c r="D352" i="1"/>
  <c r="E352" i="1"/>
  <c r="F352" i="1"/>
  <c r="G352" i="1"/>
  <c r="H352" i="1"/>
  <c r="I352" i="1"/>
  <c r="J352" i="1"/>
  <c r="K352" i="1"/>
  <c r="L352" i="1"/>
  <c r="M352" i="1"/>
  <c r="O352" i="1"/>
  <c r="P352" i="1"/>
  <c r="A353" i="1"/>
  <c r="B353" i="1"/>
  <c r="D353" i="1"/>
  <c r="E353" i="1"/>
  <c r="F353" i="1"/>
  <c r="G353" i="1"/>
  <c r="H353" i="1"/>
  <c r="I353" i="1"/>
  <c r="J353" i="1"/>
  <c r="K353" i="1"/>
  <c r="L353" i="1"/>
  <c r="M353" i="1"/>
  <c r="O353" i="1"/>
  <c r="P353" i="1"/>
  <c r="A354" i="1"/>
  <c r="B354" i="1"/>
  <c r="D354" i="1"/>
  <c r="E354" i="1"/>
  <c r="F354" i="1"/>
  <c r="G354" i="1"/>
  <c r="H354" i="1"/>
  <c r="I354" i="1"/>
  <c r="J354" i="1"/>
  <c r="K354" i="1"/>
  <c r="L354" i="1"/>
  <c r="M354" i="1"/>
  <c r="O354" i="1"/>
  <c r="P354" i="1"/>
  <c r="A355" i="1"/>
  <c r="B355" i="1"/>
  <c r="D355" i="1"/>
  <c r="E355" i="1"/>
  <c r="F355" i="1"/>
  <c r="G355" i="1"/>
  <c r="H355" i="1"/>
  <c r="I355" i="1"/>
  <c r="J355" i="1"/>
  <c r="K355" i="1"/>
  <c r="L355" i="1"/>
  <c r="M355" i="1"/>
  <c r="O355" i="1"/>
  <c r="P355" i="1"/>
  <c r="A356" i="1"/>
  <c r="B356" i="1"/>
  <c r="D356" i="1"/>
  <c r="E356" i="1"/>
  <c r="F356" i="1"/>
  <c r="G356" i="1"/>
  <c r="H356" i="1"/>
  <c r="I356" i="1"/>
  <c r="J356" i="1"/>
  <c r="K356" i="1"/>
  <c r="L356" i="1"/>
  <c r="M356" i="1"/>
  <c r="O356" i="1"/>
  <c r="P356" i="1"/>
  <c r="A357" i="1"/>
  <c r="B357" i="1"/>
  <c r="D357" i="1"/>
  <c r="E357" i="1"/>
  <c r="F357" i="1"/>
  <c r="G357" i="1"/>
  <c r="H357" i="1"/>
  <c r="I357" i="1"/>
  <c r="J357" i="1"/>
  <c r="K357" i="1"/>
  <c r="L357" i="1"/>
  <c r="M357" i="1"/>
  <c r="O357" i="1"/>
  <c r="P357" i="1"/>
  <c r="A358" i="1"/>
  <c r="B358" i="1"/>
  <c r="D358" i="1"/>
  <c r="E358" i="1"/>
  <c r="F358" i="1"/>
  <c r="G358" i="1"/>
  <c r="H358" i="1"/>
  <c r="I358" i="1"/>
  <c r="J358" i="1"/>
  <c r="K358" i="1"/>
  <c r="L358" i="1"/>
  <c r="M358" i="1"/>
  <c r="O358" i="1"/>
  <c r="P358" i="1"/>
  <c r="A359" i="1"/>
  <c r="B359" i="1"/>
  <c r="D359" i="1"/>
  <c r="E359" i="1"/>
  <c r="F359" i="1"/>
  <c r="G359" i="1"/>
  <c r="H359" i="1"/>
  <c r="I359" i="1"/>
  <c r="J359" i="1"/>
  <c r="K359" i="1"/>
  <c r="L359" i="1"/>
  <c r="M359" i="1"/>
  <c r="O359" i="1"/>
  <c r="P359" i="1"/>
  <c r="A360" i="1"/>
  <c r="B360" i="1"/>
  <c r="D360" i="1"/>
  <c r="E360" i="1"/>
  <c r="F360" i="1"/>
  <c r="G360" i="1"/>
  <c r="H360" i="1"/>
  <c r="I360" i="1"/>
  <c r="J360" i="1"/>
  <c r="K360" i="1"/>
  <c r="L360" i="1"/>
  <c r="M360" i="1"/>
  <c r="O360" i="1"/>
  <c r="P360" i="1"/>
  <c r="A361" i="1"/>
  <c r="B361" i="1"/>
  <c r="D361" i="1"/>
  <c r="E361" i="1"/>
  <c r="F361" i="1"/>
  <c r="G361" i="1"/>
  <c r="H361" i="1"/>
  <c r="I361" i="1"/>
  <c r="J361" i="1"/>
  <c r="K361" i="1"/>
  <c r="L361" i="1"/>
  <c r="M361" i="1"/>
  <c r="O361" i="1"/>
  <c r="P361" i="1"/>
  <c r="A362" i="1"/>
  <c r="B362" i="1"/>
  <c r="D362" i="1"/>
  <c r="E362" i="1"/>
  <c r="F362" i="1"/>
  <c r="G362" i="1"/>
  <c r="H362" i="1"/>
  <c r="I362" i="1"/>
  <c r="J362" i="1"/>
  <c r="K362" i="1"/>
  <c r="L362" i="1"/>
  <c r="M362" i="1"/>
  <c r="O362" i="1"/>
  <c r="P362" i="1"/>
  <c r="A363" i="1"/>
  <c r="B363" i="1"/>
  <c r="D363" i="1"/>
  <c r="E363" i="1"/>
  <c r="F363" i="1"/>
  <c r="G363" i="1"/>
  <c r="H363" i="1"/>
  <c r="I363" i="1"/>
  <c r="J363" i="1"/>
  <c r="K363" i="1"/>
  <c r="L363" i="1"/>
  <c r="M363" i="1"/>
  <c r="O363" i="1"/>
  <c r="P363" i="1"/>
  <c r="A364" i="1"/>
  <c r="B364" i="1"/>
  <c r="D364" i="1"/>
  <c r="E364" i="1"/>
  <c r="F364" i="1"/>
  <c r="G364" i="1"/>
  <c r="H364" i="1"/>
  <c r="I364" i="1"/>
  <c r="J364" i="1"/>
  <c r="K364" i="1"/>
  <c r="L364" i="1"/>
  <c r="M364" i="1"/>
  <c r="O364" i="1"/>
  <c r="P364" i="1"/>
  <c r="A365" i="1"/>
  <c r="B365" i="1"/>
  <c r="D365" i="1"/>
  <c r="E365" i="1"/>
  <c r="F365" i="1"/>
  <c r="G365" i="1"/>
  <c r="H365" i="1"/>
  <c r="I365" i="1"/>
  <c r="J365" i="1"/>
  <c r="K365" i="1"/>
  <c r="L365" i="1"/>
  <c r="M365" i="1"/>
  <c r="O365" i="1"/>
  <c r="P365" i="1"/>
  <c r="A366" i="1"/>
  <c r="B366" i="1"/>
  <c r="D366" i="1"/>
  <c r="E366" i="1"/>
  <c r="F366" i="1"/>
  <c r="G366" i="1"/>
  <c r="H366" i="1"/>
  <c r="I366" i="1"/>
  <c r="J366" i="1"/>
  <c r="K366" i="1"/>
  <c r="L366" i="1"/>
  <c r="M366" i="1"/>
  <c r="O366" i="1"/>
  <c r="P366" i="1"/>
  <c r="A367" i="1"/>
  <c r="B367" i="1"/>
  <c r="D367" i="1"/>
  <c r="E367" i="1"/>
  <c r="F367" i="1"/>
  <c r="G367" i="1"/>
  <c r="H367" i="1"/>
  <c r="I367" i="1"/>
  <c r="J367" i="1"/>
  <c r="K367" i="1"/>
  <c r="L367" i="1"/>
  <c r="M367" i="1"/>
  <c r="O367" i="1"/>
  <c r="P367" i="1"/>
  <c r="A368" i="1"/>
  <c r="B368" i="1"/>
  <c r="D368" i="1"/>
  <c r="E368" i="1"/>
  <c r="F368" i="1"/>
  <c r="G368" i="1"/>
  <c r="H368" i="1"/>
  <c r="I368" i="1"/>
  <c r="J368" i="1"/>
  <c r="K368" i="1"/>
  <c r="L368" i="1"/>
  <c r="M368" i="1"/>
  <c r="O368" i="1"/>
  <c r="P368" i="1"/>
  <c r="A369" i="1"/>
  <c r="B369" i="1"/>
  <c r="D369" i="1"/>
  <c r="E369" i="1"/>
  <c r="F369" i="1"/>
  <c r="G369" i="1"/>
  <c r="H369" i="1"/>
  <c r="I369" i="1"/>
  <c r="J369" i="1"/>
  <c r="K369" i="1"/>
  <c r="L369" i="1"/>
  <c r="M369" i="1"/>
  <c r="O369" i="1"/>
  <c r="P369" i="1"/>
  <c r="A370" i="1"/>
  <c r="B370" i="1"/>
  <c r="D370" i="1"/>
  <c r="E370" i="1"/>
  <c r="F370" i="1"/>
  <c r="G370" i="1"/>
  <c r="H370" i="1"/>
  <c r="I370" i="1"/>
  <c r="J370" i="1"/>
  <c r="K370" i="1"/>
  <c r="L370" i="1"/>
  <c r="M370" i="1"/>
  <c r="O370" i="1"/>
  <c r="P370" i="1"/>
  <c r="A371" i="1"/>
  <c r="B371" i="1"/>
  <c r="D371" i="1"/>
  <c r="E371" i="1"/>
  <c r="F371" i="1"/>
  <c r="G371" i="1"/>
  <c r="H371" i="1"/>
  <c r="I371" i="1"/>
  <c r="J371" i="1"/>
  <c r="K371" i="1"/>
  <c r="L371" i="1"/>
  <c r="M371" i="1"/>
  <c r="O371" i="1"/>
  <c r="P371" i="1"/>
  <c r="A372" i="1"/>
  <c r="B372" i="1"/>
  <c r="D372" i="1"/>
  <c r="E372" i="1"/>
  <c r="F372" i="1"/>
  <c r="G372" i="1"/>
  <c r="H372" i="1"/>
  <c r="I372" i="1"/>
  <c r="J372" i="1"/>
  <c r="K372" i="1"/>
  <c r="L372" i="1"/>
  <c r="M372" i="1"/>
  <c r="O372" i="1"/>
  <c r="P372" i="1"/>
  <c r="A373" i="1"/>
  <c r="B373" i="1"/>
  <c r="D373" i="1"/>
  <c r="E373" i="1"/>
  <c r="F373" i="1"/>
  <c r="G373" i="1"/>
  <c r="H373" i="1"/>
  <c r="I373" i="1"/>
  <c r="J373" i="1"/>
  <c r="K373" i="1"/>
  <c r="L373" i="1"/>
  <c r="M373" i="1"/>
  <c r="O373" i="1"/>
  <c r="P373" i="1"/>
  <c r="A374" i="1"/>
  <c r="B374" i="1"/>
  <c r="D374" i="1"/>
  <c r="E374" i="1"/>
  <c r="F374" i="1"/>
  <c r="G374" i="1"/>
  <c r="H374" i="1"/>
  <c r="I374" i="1"/>
  <c r="J374" i="1"/>
  <c r="K374" i="1"/>
  <c r="L374" i="1"/>
  <c r="M374" i="1"/>
  <c r="O374" i="1"/>
  <c r="P374" i="1"/>
  <c r="A375" i="1"/>
  <c r="B375" i="1"/>
  <c r="D375" i="1"/>
  <c r="E375" i="1"/>
  <c r="F375" i="1"/>
  <c r="G375" i="1"/>
  <c r="H375" i="1"/>
  <c r="I375" i="1"/>
  <c r="J375" i="1"/>
  <c r="K375" i="1"/>
  <c r="L375" i="1"/>
  <c r="M375" i="1"/>
  <c r="O375" i="1"/>
  <c r="P375" i="1"/>
  <c r="A376" i="1"/>
  <c r="B376" i="1"/>
  <c r="D376" i="1"/>
  <c r="E376" i="1"/>
  <c r="F376" i="1"/>
  <c r="G376" i="1"/>
  <c r="H376" i="1"/>
  <c r="I376" i="1"/>
  <c r="J376" i="1"/>
  <c r="K376" i="1"/>
  <c r="L376" i="1"/>
  <c r="M376" i="1"/>
  <c r="O376" i="1"/>
  <c r="P376" i="1"/>
  <c r="A377" i="1"/>
  <c r="B377" i="1"/>
  <c r="D377" i="1"/>
  <c r="E377" i="1"/>
  <c r="F377" i="1"/>
  <c r="G377" i="1"/>
  <c r="H377" i="1"/>
  <c r="I377" i="1"/>
  <c r="J377" i="1"/>
  <c r="K377" i="1"/>
  <c r="L377" i="1"/>
  <c r="M377" i="1"/>
  <c r="O377" i="1"/>
  <c r="P377" i="1"/>
  <c r="A378" i="1"/>
  <c r="B378" i="1"/>
  <c r="D378" i="1"/>
  <c r="E378" i="1"/>
  <c r="F378" i="1"/>
  <c r="G378" i="1"/>
  <c r="H378" i="1"/>
  <c r="I378" i="1"/>
  <c r="J378" i="1"/>
  <c r="K378" i="1"/>
  <c r="L378" i="1"/>
  <c r="M378" i="1"/>
  <c r="O378" i="1"/>
  <c r="P378" i="1"/>
  <c r="A379" i="1"/>
  <c r="B379" i="1"/>
  <c r="D379" i="1"/>
  <c r="E379" i="1"/>
  <c r="F379" i="1"/>
  <c r="G379" i="1"/>
  <c r="H379" i="1"/>
  <c r="I379" i="1"/>
  <c r="J379" i="1"/>
  <c r="K379" i="1"/>
  <c r="L379" i="1"/>
  <c r="M379" i="1"/>
  <c r="O379" i="1"/>
  <c r="P379" i="1"/>
  <c r="A380" i="1"/>
  <c r="B380" i="1"/>
  <c r="D380" i="1"/>
  <c r="E380" i="1"/>
  <c r="F380" i="1"/>
  <c r="G380" i="1"/>
  <c r="H380" i="1"/>
  <c r="I380" i="1"/>
  <c r="J380" i="1"/>
  <c r="K380" i="1"/>
  <c r="L380" i="1"/>
  <c r="M380" i="1"/>
  <c r="O380" i="1"/>
  <c r="P380" i="1"/>
  <c r="A381" i="1"/>
  <c r="B381" i="1"/>
  <c r="D381" i="1"/>
  <c r="E381" i="1"/>
  <c r="F381" i="1"/>
  <c r="G381" i="1"/>
  <c r="H381" i="1"/>
  <c r="I381" i="1"/>
  <c r="J381" i="1"/>
  <c r="K381" i="1"/>
  <c r="L381" i="1"/>
  <c r="M381" i="1"/>
  <c r="O381" i="1"/>
  <c r="P381" i="1"/>
  <c r="A382" i="1"/>
  <c r="B382" i="1"/>
  <c r="D382" i="1"/>
  <c r="E382" i="1"/>
  <c r="F382" i="1"/>
  <c r="G382" i="1"/>
  <c r="H382" i="1"/>
  <c r="I382" i="1"/>
  <c r="J382" i="1"/>
  <c r="K382" i="1"/>
  <c r="L382" i="1"/>
  <c r="M382" i="1"/>
  <c r="O382" i="1"/>
  <c r="P382" i="1"/>
  <c r="A383" i="1"/>
  <c r="B383" i="1"/>
  <c r="D383" i="1"/>
  <c r="E383" i="1"/>
  <c r="F383" i="1"/>
  <c r="G383" i="1"/>
  <c r="H383" i="1"/>
  <c r="I383" i="1"/>
  <c r="J383" i="1"/>
  <c r="K383" i="1"/>
  <c r="L383" i="1"/>
  <c r="M383" i="1"/>
  <c r="O383" i="1"/>
  <c r="P383" i="1"/>
  <c r="A384" i="1"/>
  <c r="B384" i="1"/>
  <c r="D384" i="1"/>
  <c r="E384" i="1"/>
  <c r="F384" i="1"/>
  <c r="G384" i="1"/>
  <c r="H384" i="1"/>
  <c r="I384" i="1"/>
  <c r="J384" i="1"/>
  <c r="K384" i="1"/>
  <c r="L384" i="1"/>
  <c r="M384" i="1"/>
  <c r="O384" i="1"/>
  <c r="P384" i="1"/>
  <c r="A385" i="1"/>
  <c r="B385" i="1"/>
  <c r="D385" i="1"/>
  <c r="E385" i="1"/>
  <c r="F385" i="1"/>
  <c r="G385" i="1"/>
  <c r="H385" i="1"/>
  <c r="I385" i="1"/>
  <c r="J385" i="1"/>
  <c r="K385" i="1"/>
  <c r="L385" i="1"/>
  <c r="M385" i="1"/>
  <c r="O385" i="1"/>
  <c r="P385" i="1"/>
  <c r="A386" i="1"/>
  <c r="B386" i="1"/>
  <c r="D386" i="1"/>
  <c r="E386" i="1"/>
  <c r="F386" i="1"/>
  <c r="G386" i="1"/>
  <c r="H386" i="1"/>
  <c r="I386" i="1"/>
  <c r="J386" i="1"/>
  <c r="K386" i="1"/>
  <c r="L386" i="1"/>
  <c r="M386" i="1"/>
  <c r="O386" i="1"/>
  <c r="P386" i="1"/>
  <c r="A387" i="1"/>
  <c r="B387" i="1"/>
  <c r="D387" i="1"/>
  <c r="E387" i="1"/>
  <c r="F387" i="1"/>
  <c r="G387" i="1"/>
  <c r="H387" i="1"/>
  <c r="I387" i="1"/>
  <c r="J387" i="1"/>
  <c r="K387" i="1"/>
  <c r="L387" i="1"/>
  <c r="M387" i="1"/>
  <c r="O387" i="1"/>
  <c r="P387" i="1"/>
  <c r="A388" i="1"/>
  <c r="B388" i="1"/>
  <c r="D388" i="1"/>
  <c r="E388" i="1"/>
  <c r="F388" i="1"/>
  <c r="G388" i="1"/>
  <c r="H388" i="1"/>
  <c r="I388" i="1"/>
  <c r="J388" i="1"/>
  <c r="K388" i="1"/>
  <c r="L388" i="1"/>
  <c r="M388" i="1"/>
  <c r="O388" i="1"/>
  <c r="P388" i="1"/>
  <c r="A389" i="1"/>
  <c r="B389" i="1"/>
  <c r="D389" i="1"/>
  <c r="E389" i="1"/>
  <c r="F389" i="1"/>
  <c r="G389" i="1"/>
  <c r="H389" i="1"/>
  <c r="I389" i="1"/>
  <c r="J389" i="1"/>
  <c r="K389" i="1"/>
  <c r="L389" i="1"/>
  <c r="M389" i="1"/>
  <c r="O389" i="1"/>
  <c r="P389" i="1"/>
  <c r="A390" i="1"/>
  <c r="B390" i="1"/>
  <c r="D390" i="1"/>
  <c r="E390" i="1"/>
  <c r="F390" i="1"/>
  <c r="G390" i="1"/>
  <c r="H390" i="1"/>
  <c r="I390" i="1"/>
  <c r="J390" i="1"/>
  <c r="K390" i="1"/>
  <c r="L390" i="1"/>
  <c r="M390" i="1"/>
  <c r="O390" i="1"/>
  <c r="P390" i="1"/>
  <c r="A391" i="1"/>
  <c r="B391" i="1"/>
  <c r="D391" i="1"/>
  <c r="E391" i="1"/>
  <c r="F391" i="1"/>
  <c r="G391" i="1"/>
  <c r="H391" i="1"/>
  <c r="I391" i="1"/>
  <c r="J391" i="1"/>
  <c r="K391" i="1"/>
  <c r="L391" i="1"/>
  <c r="M391" i="1"/>
  <c r="O391" i="1"/>
  <c r="P391" i="1"/>
  <c r="A392" i="1"/>
  <c r="B392" i="1"/>
  <c r="D392" i="1"/>
  <c r="E392" i="1"/>
  <c r="F392" i="1"/>
  <c r="G392" i="1"/>
  <c r="H392" i="1"/>
  <c r="I392" i="1"/>
  <c r="J392" i="1"/>
  <c r="K392" i="1"/>
  <c r="L392" i="1"/>
  <c r="M392" i="1"/>
  <c r="O392" i="1"/>
  <c r="P392" i="1"/>
  <c r="A393" i="1"/>
  <c r="B393" i="1"/>
  <c r="D393" i="1"/>
  <c r="E393" i="1"/>
  <c r="F393" i="1"/>
  <c r="G393" i="1"/>
  <c r="H393" i="1"/>
  <c r="I393" i="1"/>
  <c r="J393" i="1"/>
  <c r="K393" i="1"/>
  <c r="L393" i="1"/>
  <c r="M393" i="1"/>
  <c r="O393" i="1"/>
  <c r="P393" i="1"/>
  <c r="A394" i="1"/>
  <c r="B394" i="1"/>
  <c r="D394" i="1"/>
  <c r="E394" i="1"/>
  <c r="F394" i="1"/>
  <c r="G394" i="1"/>
  <c r="H394" i="1"/>
  <c r="I394" i="1"/>
  <c r="J394" i="1"/>
  <c r="K394" i="1"/>
  <c r="L394" i="1"/>
  <c r="M394" i="1"/>
  <c r="O394" i="1"/>
  <c r="P394" i="1"/>
  <c r="A395" i="1"/>
  <c r="B395" i="1"/>
  <c r="D395" i="1"/>
  <c r="E395" i="1"/>
  <c r="F395" i="1"/>
  <c r="G395" i="1"/>
  <c r="H395" i="1"/>
  <c r="I395" i="1"/>
  <c r="J395" i="1"/>
  <c r="K395" i="1"/>
  <c r="L395" i="1"/>
  <c r="M395" i="1"/>
  <c r="O395" i="1"/>
  <c r="P395" i="1"/>
  <c r="A396" i="1"/>
  <c r="B396" i="1"/>
  <c r="D396" i="1"/>
  <c r="E396" i="1"/>
  <c r="F396" i="1"/>
  <c r="G396" i="1"/>
  <c r="H396" i="1"/>
  <c r="I396" i="1"/>
  <c r="J396" i="1"/>
  <c r="K396" i="1"/>
  <c r="L396" i="1"/>
  <c r="M396" i="1"/>
  <c r="O396" i="1"/>
  <c r="P396" i="1"/>
  <c r="A397" i="1"/>
  <c r="B397" i="1"/>
  <c r="D397" i="1"/>
  <c r="E397" i="1"/>
  <c r="F397" i="1"/>
  <c r="G397" i="1"/>
  <c r="H397" i="1"/>
  <c r="I397" i="1"/>
  <c r="J397" i="1"/>
  <c r="K397" i="1"/>
  <c r="L397" i="1"/>
  <c r="M397" i="1"/>
  <c r="O397" i="1"/>
  <c r="P397" i="1"/>
  <c r="A398" i="1"/>
  <c r="B398" i="1"/>
  <c r="D398" i="1"/>
  <c r="E398" i="1"/>
  <c r="F398" i="1"/>
  <c r="G398" i="1"/>
  <c r="H398" i="1"/>
  <c r="I398" i="1"/>
  <c r="J398" i="1"/>
  <c r="K398" i="1"/>
  <c r="L398" i="1"/>
  <c r="M398" i="1"/>
  <c r="O398" i="1"/>
  <c r="P398" i="1"/>
  <c r="A399" i="1"/>
  <c r="B399" i="1"/>
  <c r="D399" i="1"/>
  <c r="E399" i="1"/>
  <c r="F399" i="1"/>
  <c r="G399" i="1"/>
  <c r="H399" i="1"/>
  <c r="I399" i="1"/>
  <c r="J399" i="1"/>
  <c r="K399" i="1"/>
  <c r="L399" i="1"/>
  <c r="M399" i="1"/>
  <c r="O399" i="1"/>
  <c r="P399" i="1"/>
  <c r="A400" i="1"/>
  <c r="B400" i="1"/>
  <c r="D400" i="1"/>
  <c r="E400" i="1"/>
  <c r="F400" i="1"/>
  <c r="G400" i="1"/>
  <c r="H400" i="1"/>
  <c r="I400" i="1"/>
  <c r="J400" i="1"/>
  <c r="K400" i="1"/>
  <c r="L400" i="1"/>
  <c r="M400" i="1"/>
  <c r="O400" i="1"/>
  <c r="P400" i="1"/>
  <c r="A401" i="1"/>
  <c r="B401" i="1"/>
  <c r="D401" i="1"/>
  <c r="E401" i="1"/>
  <c r="F401" i="1"/>
  <c r="G401" i="1"/>
  <c r="H401" i="1"/>
  <c r="I401" i="1"/>
  <c r="J401" i="1"/>
  <c r="K401" i="1"/>
  <c r="L401" i="1"/>
  <c r="M401" i="1"/>
  <c r="O401" i="1"/>
  <c r="P401" i="1"/>
  <c r="A402" i="1"/>
  <c r="B402" i="1"/>
  <c r="D402" i="1"/>
  <c r="E402" i="1"/>
  <c r="F402" i="1"/>
  <c r="G402" i="1"/>
  <c r="H402" i="1"/>
  <c r="I402" i="1"/>
  <c r="J402" i="1"/>
  <c r="K402" i="1"/>
  <c r="L402" i="1"/>
  <c r="M402" i="1"/>
  <c r="O402" i="1"/>
  <c r="P402" i="1"/>
  <c r="A403" i="1"/>
  <c r="B403" i="1"/>
  <c r="D403" i="1"/>
  <c r="E403" i="1"/>
  <c r="F403" i="1"/>
  <c r="G403" i="1"/>
  <c r="H403" i="1"/>
  <c r="I403" i="1"/>
  <c r="J403" i="1"/>
  <c r="K403" i="1"/>
  <c r="L403" i="1"/>
  <c r="M403" i="1"/>
  <c r="O403" i="1"/>
  <c r="P403" i="1"/>
  <c r="A404" i="1"/>
  <c r="B404" i="1"/>
  <c r="D404" i="1"/>
  <c r="E404" i="1"/>
  <c r="F404" i="1"/>
  <c r="G404" i="1"/>
  <c r="H404" i="1"/>
  <c r="I404" i="1"/>
  <c r="J404" i="1"/>
  <c r="K404" i="1"/>
  <c r="L404" i="1"/>
  <c r="M404" i="1"/>
  <c r="O404" i="1"/>
  <c r="P404" i="1"/>
  <c r="A405" i="1"/>
  <c r="B405" i="1"/>
  <c r="D405" i="1"/>
  <c r="E405" i="1"/>
  <c r="F405" i="1"/>
  <c r="G405" i="1"/>
  <c r="H405" i="1"/>
  <c r="I405" i="1"/>
  <c r="J405" i="1"/>
  <c r="K405" i="1"/>
  <c r="L405" i="1"/>
  <c r="M405" i="1"/>
  <c r="O405" i="1"/>
  <c r="P405" i="1"/>
  <c r="A406" i="1"/>
  <c r="B406" i="1"/>
  <c r="D406" i="1"/>
  <c r="E406" i="1"/>
  <c r="F406" i="1"/>
  <c r="G406" i="1"/>
  <c r="H406" i="1"/>
  <c r="I406" i="1"/>
  <c r="J406" i="1"/>
  <c r="K406" i="1"/>
  <c r="L406" i="1"/>
  <c r="M406" i="1"/>
  <c r="O406" i="1"/>
  <c r="P406" i="1"/>
  <c r="A407" i="1"/>
  <c r="B407" i="1"/>
  <c r="D407" i="1"/>
  <c r="E407" i="1"/>
  <c r="F407" i="1"/>
  <c r="G407" i="1"/>
  <c r="H407" i="1"/>
  <c r="I407" i="1"/>
  <c r="J407" i="1"/>
  <c r="K407" i="1"/>
  <c r="L407" i="1"/>
  <c r="M407" i="1"/>
  <c r="O407" i="1"/>
  <c r="P407" i="1"/>
  <c r="A408" i="1"/>
  <c r="B408" i="1"/>
  <c r="D408" i="1"/>
  <c r="E408" i="1"/>
  <c r="F408" i="1"/>
  <c r="G408" i="1"/>
  <c r="H408" i="1"/>
  <c r="I408" i="1"/>
  <c r="J408" i="1"/>
  <c r="K408" i="1"/>
  <c r="L408" i="1"/>
  <c r="M408" i="1"/>
  <c r="O408" i="1"/>
  <c r="P408" i="1"/>
  <c r="A409" i="1"/>
  <c r="B409" i="1"/>
  <c r="D409" i="1"/>
  <c r="E409" i="1"/>
  <c r="F409" i="1"/>
  <c r="G409" i="1"/>
  <c r="H409" i="1"/>
  <c r="I409" i="1"/>
  <c r="J409" i="1"/>
  <c r="K409" i="1"/>
  <c r="L409" i="1"/>
  <c r="M409" i="1"/>
  <c r="O409" i="1"/>
  <c r="P409" i="1"/>
  <c r="A410" i="1"/>
  <c r="B410" i="1"/>
  <c r="D410" i="1"/>
  <c r="E410" i="1"/>
  <c r="F410" i="1"/>
  <c r="G410" i="1"/>
  <c r="H410" i="1"/>
  <c r="I410" i="1"/>
  <c r="J410" i="1"/>
  <c r="K410" i="1"/>
  <c r="L410" i="1"/>
  <c r="M410" i="1"/>
  <c r="O410" i="1"/>
  <c r="P410" i="1"/>
  <c r="A411" i="1"/>
  <c r="B411" i="1"/>
  <c r="D411" i="1"/>
  <c r="E411" i="1"/>
  <c r="F411" i="1"/>
  <c r="G411" i="1"/>
  <c r="H411" i="1"/>
  <c r="I411" i="1"/>
  <c r="J411" i="1"/>
  <c r="K411" i="1"/>
  <c r="L411" i="1"/>
  <c r="M411" i="1"/>
  <c r="O411" i="1"/>
  <c r="P411" i="1"/>
  <c r="A412" i="1"/>
  <c r="B412" i="1"/>
  <c r="D412" i="1"/>
  <c r="E412" i="1"/>
  <c r="F412" i="1"/>
  <c r="G412" i="1"/>
  <c r="H412" i="1"/>
  <c r="I412" i="1"/>
  <c r="J412" i="1"/>
  <c r="K412" i="1"/>
  <c r="L412" i="1"/>
  <c r="M412" i="1"/>
  <c r="O412" i="1"/>
  <c r="P412" i="1"/>
  <c r="A413" i="1"/>
  <c r="B413" i="1"/>
  <c r="D413" i="1"/>
  <c r="E413" i="1"/>
  <c r="F413" i="1"/>
  <c r="G413" i="1"/>
  <c r="H413" i="1"/>
  <c r="I413" i="1"/>
  <c r="J413" i="1"/>
  <c r="K413" i="1"/>
  <c r="L413" i="1"/>
  <c r="M413" i="1"/>
  <c r="O413" i="1"/>
  <c r="P413" i="1"/>
  <c r="A414" i="1"/>
  <c r="B414" i="1"/>
  <c r="D414" i="1"/>
  <c r="E414" i="1"/>
  <c r="F414" i="1"/>
  <c r="G414" i="1"/>
  <c r="H414" i="1"/>
  <c r="I414" i="1"/>
  <c r="J414" i="1"/>
  <c r="K414" i="1"/>
  <c r="L414" i="1"/>
  <c r="M414" i="1"/>
  <c r="O414" i="1"/>
  <c r="P414" i="1"/>
  <c r="A415" i="1"/>
  <c r="B415" i="1"/>
  <c r="D415" i="1"/>
  <c r="E415" i="1"/>
  <c r="F415" i="1"/>
  <c r="G415" i="1"/>
  <c r="H415" i="1"/>
  <c r="I415" i="1"/>
  <c r="J415" i="1"/>
  <c r="K415" i="1"/>
  <c r="L415" i="1"/>
  <c r="M415" i="1"/>
  <c r="O415" i="1"/>
  <c r="P415" i="1"/>
  <c r="A416" i="1"/>
  <c r="B416" i="1"/>
  <c r="D416" i="1"/>
  <c r="E416" i="1"/>
  <c r="F416" i="1"/>
  <c r="G416" i="1"/>
  <c r="H416" i="1"/>
  <c r="I416" i="1"/>
  <c r="J416" i="1"/>
  <c r="K416" i="1"/>
  <c r="L416" i="1"/>
  <c r="M416" i="1"/>
  <c r="O416" i="1"/>
  <c r="P416" i="1"/>
  <c r="A417" i="1"/>
  <c r="B417" i="1"/>
  <c r="D417" i="1"/>
  <c r="E417" i="1"/>
  <c r="F417" i="1"/>
  <c r="G417" i="1"/>
  <c r="H417" i="1"/>
  <c r="I417" i="1"/>
  <c r="J417" i="1"/>
  <c r="K417" i="1"/>
  <c r="L417" i="1"/>
  <c r="M417" i="1"/>
  <c r="O417" i="1"/>
  <c r="P417" i="1"/>
  <c r="A418" i="1"/>
  <c r="B418" i="1"/>
  <c r="D418" i="1"/>
  <c r="E418" i="1"/>
  <c r="F418" i="1"/>
  <c r="G418" i="1"/>
  <c r="H418" i="1"/>
  <c r="I418" i="1"/>
  <c r="J418" i="1"/>
  <c r="K418" i="1"/>
  <c r="L418" i="1"/>
  <c r="M418" i="1"/>
  <c r="O418" i="1"/>
  <c r="P418" i="1"/>
  <c r="A419" i="1"/>
  <c r="B419" i="1"/>
  <c r="D419" i="1"/>
  <c r="E419" i="1"/>
  <c r="F419" i="1"/>
  <c r="G419" i="1"/>
  <c r="H419" i="1"/>
  <c r="I419" i="1"/>
  <c r="J419" i="1"/>
  <c r="K419" i="1"/>
  <c r="L419" i="1"/>
  <c r="M419" i="1"/>
  <c r="O419" i="1"/>
  <c r="P419" i="1"/>
  <c r="A420" i="1"/>
  <c r="B420" i="1"/>
  <c r="D420" i="1"/>
  <c r="E420" i="1"/>
  <c r="F420" i="1"/>
  <c r="G420" i="1"/>
  <c r="H420" i="1"/>
  <c r="I420" i="1"/>
  <c r="J420" i="1"/>
  <c r="K420" i="1"/>
  <c r="L420" i="1"/>
  <c r="M420" i="1"/>
  <c r="O420" i="1"/>
  <c r="P420" i="1"/>
  <c r="A421" i="1"/>
  <c r="B421" i="1"/>
  <c r="D421" i="1"/>
  <c r="E421" i="1"/>
  <c r="F421" i="1"/>
  <c r="G421" i="1"/>
  <c r="H421" i="1"/>
  <c r="I421" i="1"/>
  <c r="J421" i="1"/>
  <c r="K421" i="1"/>
  <c r="L421" i="1"/>
  <c r="M421" i="1"/>
  <c r="O421" i="1"/>
  <c r="P421" i="1"/>
  <c r="A422" i="1"/>
  <c r="B422" i="1"/>
  <c r="D422" i="1"/>
  <c r="E422" i="1"/>
  <c r="F422" i="1"/>
  <c r="G422" i="1"/>
  <c r="H422" i="1"/>
  <c r="I422" i="1"/>
  <c r="J422" i="1"/>
  <c r="K422" i="1"/>
  <c r="L422" i="1"/>
  <c r="M422" i="1"/>
  <c r="O422" i="1"/>
  <c r="P422" i="1"/>
  <c r="A423" i="1"/>
  <c r="B423" i="1"/>
  <c r="D423" i="1"/>
  <c r="E423" i="1"/>
  <c r="F423" i="1"/>
  <c r="G423" i="1"/>
  <c r="H423" i="1"/>
  <c r="I423" i="1"/>
  <c r="J423" i="1"/>
  <c r="K423" i="1"/>
  <c r="L423" i="1"/>
  <c r="M423" i="1"/>
  <c r="O423" i="1"/>
  <c r="P423" i="1"/>
  <c r="A424" i="1"/>
  <c r="B424" i="1"/>
  <c r="D424" i="1"/>
  <c r="E424" i="1"/>
  <c r="F424" i="1"/>
  <c r="G424" i="1"/>
  <c r="H424" i="1"/>
  <c r="I424" i="1"/>
  <c r="J424" i="1"/>
  <c r="K424" i="1"/>
  <c r="L424" i="1"/>
  <c r="M424" i="1"/>
  <c r="O424" i="1"/>
  <c r="P424" i="1"/>
  <c r="A425" i="1"/>
  <c r="B425" i="1"/>
  <c r="D425" i="1"/>
  <c r="E425" i="1"/>
  <c r="F425" i="1"/>
  <c r="G425" i="1"/>
  <c r="H425" i="1"/>
  <c r="I425" i="1"/>
  <c r="J425" i="1"/>
  <c r="K425" i="1"/>
  <c r="L425" i="1"/>
  <c r="M425" i="1"/>
  <c r="O425" i="1"/>
  <c r="P425" i="1"/>
  <c r="A426" i="1"/>
  <c r="B426" i="1"/>
  <c r="D426" i="1"/>
  <c r="E426" i="1"/>
  <c r="F426" i="1"/>
  <c r="G426" i="1"/>
  <c r="H426" i="1"/>
  <c r="I426" i="1"/>
  <c r="J426" i="1"/>
  <c r="K426" i="1"/>
  <c r="L426" i="1"/>
  <c r="M426" i="1"/>
  <c r="O426" i="1"/>
  <c r="P426" i="1"/>
  <c r="A427" i="1"/>
  <c r="B427" i="1"/>
  <c r="D427" i="1"/>
  <c r="E427" i="1"/>
  <c r="F427" i="1"/>
  <c r="G427" i="1"/>
  <c r="H427" i="1"/>
  <c r="I427" i="1"/>
  <c r="J427" i="1"/>
  <c r="K427" i="1"/>
  <c r="L427" i="1"/>
  <c r="M427" i="1"/>
  <c r="O427" i="1"/>
  <c r="P427" i="1"/>
  <c r="A428" i="1"/>
  <c r="B428" i="1"/>
  <c r="D428" i="1"/>
  <c r="E428" i="1"/>
  <c r="F428" i="1"/>
  <c r="G428" i="1"/>
  <c r="H428" i="1"/>
  <c r="I428" i="1"/>
  <c r="J428" i="1"/>
  <c r="K428" i="1"/>
  <c r="L428" i="1"/>
  <c r="M428" i="1"/>
  <c r="O428" i="1"/>
  <c r="P428" i="1"/>
  <c r="A429" i="1"/>
  <c r="B429" i="1"/>
  <c r="D429" i="1"/>
  <c r="E429" i="1"/>
  <c r="F429" i="1"/>
  <c r="G429" i="1"/>
  <c r="H429" i="1"/>
  <c r="I429" i="1"/>
  <c r="J429" i="1"/>
  <c r="K429" i="1"/>
  <c r="L429" i="1"/>
  <c r="M429" i="1"/>
  <c r="O429" i="1"/>
  <c r="P429" i="1"/>
  <c r="A430" i="1"/>
  <c r="B430" i="1"/>
  <c r="D430" i="1"/>
  <c r="E430" i="1"/>
  <c r="F430" i="1"/>
  <c r="G430" i="1"/>
  <c r="H430" i="1"/>
  <c r="I430" i="1"/>
  <c r="J430" i="1"/>
  <c r="K430" i="1"/>
  <c r="L430" i="1"/>
  <c r="M430" i="1"/>
  <c r="O430" i="1"/>
  <c r="P430" i="1"/>
  <c r="A431" i="1"/>
  <c r="B431" i="1"/>
  <c r="D431" i="1"/>
  <c r="E431" i="1"/>
  <c r="F431" i="1"/>
  <c r="G431" i="1"/>
  <c r="H431" i="1"/>
  <c r="I431" i="1"/>
  <c r="J431" i="1"/>
  <c r="K431" i="1"/>
  <c r="L431" i="1"/>
  <c r="M431" i="1"/>
  <c r="O431" i="1"/>
  <c r="P431" i="1"/>
  <c r="A432" i="1"/>
  <c r="B432" i="1"/>
  <c r="D432" i="1"/>
  <c r="E432" i="1"/>
  <c r="F432" i="1"/>
  <c r="G432" i="1"/>
  <c r="H432" i="1"/>
  <c r="I432" i="1"/>
  <c r="J432" i="1"/>
  <c r="K432" i="1"/>
  <c r="L432" i="1"/>
  <c r="M432" i="1"/>
  <c r="O432" i="1"/>
  <c r="P432" i="1"/>
  <c r="A433" i="1"/>
  <c r="B433" i="1"/>
  <c r="D433" i="1"/>
  <c r="E433" i="1"/>
  <c r="F433" i="1"/>
  <c r="G433" i="1"/>
  <c r="H433" i="1"/>
  <c r="I433" i="1"/>
  <c r="J433" i="1"/>
  <c r="K433" i="1"/>
  <c r="L433" i="1"/>
  <c r="M433" i="1"/>
  <c r="O433" i="1"/>
  <c r="P433" i="1"/>
  <c r="A434" i="1"/>
  <c r="B434" i="1"/>
  <c r="D434" i="1"/>
  <c r="E434" i="1"/>
  <c r="F434" i="1"/>
  <c r="G434" i="1"/>
  <c r="H434" i="1"/>
  <c r="I434" i="1"/>
  <c r="J434" i="1"/>
  <c r="K434" i="1"/>
  <c r="L434" i="1"/>
  <c r="M434" i="1"/>
  <c r="O434" i="1"/>
  <c r="P434" i="1"/>
  <c r="A435" i="1"/>
  <c r="B435" i="1"/>
  <c r="D435" i="1"/>
  <c r="E435" i="1"/>
  <c r="F435" i="1"/>
  <c r="G435" i="1"/>
  <c r="H435" i="1"/>
  <c r="I435" i="1"/>
  <c r="J435" i="1"/>
  <c r="K435" i="1"/>
  <c r="L435" i="1"/>
  <c r="M435" i="1"/>
  <c r="O435" i="1"/>
  <c r="P435" i="1"/>
  <c r="A436" i="1"/>
  <c r="B436" i="1"/>
  <c r="D436" i="1"/>
  <c r="E436" i="1"/>
  <c r="F436" i="1"/>
  <c r="G436" i="1"/>
  <c r="H436" i="1"/>
  <c r="I436" i="1"/>
  <c r="J436" i="1"/>
  <c r="K436" i="1"/>
  <c r="L436" i="1"/>
  <c r="M436" i="1"/>
  <c r="O436" i="1"/>
  <c r="P436" i="1"/>
  <c r="A437" i="1"/>
  <c r="B437" i="1"/>
  <c r="D437" i="1"/>
  <c r="E437" i="1"/>
  <c r="F437" i="1"/>
  <c r="G437" i="1"/>
  <c r="H437" i="1"/>
  <c r="I437" i="1"/>
  <c r="J437" i="1"/>
  <c r="K437" i="1"/>
  <c r="L437" i="1"/>
  <c r="M437" i="1"/>
  <c r="O437" i="1"/>
  <c r="P437" i="1"/>
  <c r="A438" i="1"/>
  <c r="B438" i="1"/>
  <c r="D438" i="1"/>
  <c r="E438" i="1"/>
  <c r="F438" i="1"/>
  <c r="G438" i="1"/>
  <c r="H438" i="1"/>
  <c r="I438" i="1"/>
  <c r="J438" i="1"/>
  <c r="K438" i="1"/>
  <c r="L438" i="1"/>
  <c r="M438" i="1"/>
  <c r="O438" i="1"/>
  <c r="P438" i="1"/>
  <c r="A439" i="1"/>
  <c r="B439" i="1"/>
  <c r="D439" i="1"/>
  <c r="E439" i="1"/>
  <c r="F439" i="1"/>
  <c r="G439" i="1"/>
  <c r="H439" i="1"/>
  <c r="I439" i="1"/>
  <c r="J439" i="1"/>
  <c r="K439" i="1"/>
  <c r="L439" i="1"/>
  <c r="M439" i="1"/>
  <c r="O439" i="1"/>
  <c r="P439" i="1"/>
  <c r="A440" i="1"/>
  <c r="B440" i="1"/>
  <c r="D440" i="1"/>
  <c r="E440" i="1"/>
  <c r="F440" i="1"/>
  <c r="G440" i="1"/>
  <c r="H440" i="1"/>
  <c r="I440" i="1"/>
  <c r="J440" i="1"/>
  <c r="K440" i="1"/>
  <c r="L440" i="1"/>
  <c r="M440" i="1"/>
  <c r="O440" i="1"/>
  <c r="P440" i="1"/>
  <c r="A441" i="1"/>
  <c r="B441" i="1"/>
  <c r="D441" i="1"/>
  <c r="E441" i="1"/>
  <c r="F441" i="1"/>
  <c r="G441" i="1"/>
  <c r="H441" i="1"/>
  <c r="I441" i="1"/>
  <c r="J441" i="1"/>
  <c r="K441" i="1"/>
  <c r="L441" i="1"/>
  <c r="M441" i="1"/>
  <c r="O441" i="1"/>
  <c r="P441" i="1"/>
  <c r="A442" i="1"/>
  <c r="B442" i="1"/>
  <c r="D442" i="1"/>
  <c r="E442" i="1"/>
  <c r="F442" i="1"/>
  <c r="G442" i="1"/>
  <c r="H442" i="1"/>
  <c r="I442" i="1"/>
  <c r="J442" i="1"/>
  <c r="K442" i="1"/>
  <c r="L442" i="1"/>
  <c r="M442" i="1"/>
  <c r="O442" i="1"/>
  <c r="P442" i="1"/>
  <c r="A443" i="1"/>
  <c r="B443" i="1"/>
  <c r="D443" i="1"/>
  <c r="E443" i="1"/>
  <c r="F443" i="1"/>
  <c r="G443" i="1"/>
  <c r="H443" i="1"/>
  <c r="I443" i="1"/>
  <c r="J443" i="1"/>
  <c r="K443" i="1"/>
  <c r="L443" i="1"/>
  <c r="M443" i="1"/>
  <c r="O443" i="1"/>
  <c r="P443" i="1"/>
  <c r="A444" i="1"/>
  <c r="B444" i="1"/>
  <c r="D444" i="1"/>
  <c r="E444" i="1"/>
  <c r="F444" i="1"/>
  <c r="G444" i="1"/>
  <c r="H444" i="1"/>
  <c r="I444" i="1"/>
  <c r="J444" i="1"/>
  <c r="K444" i="1"/>
  <c r="L444" i="1"/>
  <c r="M444" i="1"/>
  <c r="O444" i="1"/>
  <c r="P444" i="1"/>
  <c r="A445" i="1"/>
  <c r="B445" i="1"/>
  <c r="D445" i="1"/>
  <c r="E445" i="1"/>
  <c r="F445" i="1"/>
  <c r="G445" i="1"/>
  <c r="H445" i="1"/>
  <c r="I445" i="1"/>
  <c r="J445" i="1"/>
  <c r="K445" i="1"/>
  <c r="L445" i="1"/>
  <c r="M445" i="1"/>
  <c r="O445" i="1"/>
  <c r="P445" i="1"/>
  <c r="A446" i="1"/>
  <c r="B446" i="1"/>
  <c r="D446" i="1"/>
  <c r="E446" i="1"/>
  <c r="F446" i="1"/>
  <c r="G446" i="1"/>
  <c r="H446" i="1"/>
  <c r="I446" i="1"/>
  <c r="J446" i="1"/>
  <c r="K446" i="1"/>
  <c r="L446" i="1"/>
  <c r="M446" i="1"/>
  <c r="O446" i="1"/>
  <c r="P446" i="1"/>
  <c r="A447" i="1"/>
  <c r="B447" i="1"/>
  <c r="D447" i="1"/>
  <c r="E447" i="1"/>
  <c r="F447" i="1"/>
  <c r="G447" i="1"/>
  <c r="H447" i="1"/>
  <c r="I447" i="1"/>
  <c r="J447" i="1"/>
  <c r="K447" i="1"/>
  <c r="L447" i="1"/>
  <c r="M447" i="1"/>
  <c r="O447" i="1"/>
  <c r="P447" i="1"/>
  <c r="A448" i="1"/>
  <c r="B448" i="1"/>
  <c r="D448" i="1"/>
  <c r="E448" i="1"/>
  <c r="F448" i="1"/>
  <c r="G448" i="1"/>
  <c r="H448" i="1"/>
  <c r="I448" i="1"/>
  <c r="J448" i="1"/>
  <c r="K448" i="1"/>
  <c r="L448" i="1"/>
  <c r="M448" i="1"/>
  <c r="O448" i="1"/>
  <c r="P448" i="1"/>
  <c r="A449" i="1"/>
  <c r="B449" i="1"/>
  <c r="D449" i="1"/>
  <c r="E449" i="1"/>
  <c r="F449" i="1"/>
  <c r="G449" i="1"/>
  <c r="H449" i="1"/>
  <c r="I449" i="1"/>
  <c r="J449" i="1"/>
  <c r="K449" i="1"/>
  <c r="L449" i="1"/>
  <c r="M449" i="1"/>
  <c r="O449" i="1"/>
  <c r="P449" i="1"/>
  <c r="A450" i="1"/>
  <c r="B450" i="1"/>
  <c r="D450" i="1"/>
  <c r="E450" i="1"/>
  <c r="F450" i="1"/>
  <c r="G450" i="1"/>
  <c r="H450" i="1"/>
  <c r="I450" i="1"/>
  <c r="J450" i="1"/>
  <c r="K450" i="1"/>
  <c r="L450" i="1"/>
  <c r="M450" i="1"/>
  <c r="O450" i="1"/>
  <c r="P450" i="1"/>
  <c r="A451" i="1"/>
  <c r="B451" i="1"/>
  <c r="D451" i="1"/>
  <c r="E451" i="1"/>
  <c r="F451" i="1"/>
  <c r="G451" i="1"/>
  <c r="H451" i="1"/>
  <c r="I451" i="1"/>
  <c r="J451" i="1"/>
  <c r="K451" i="1"/>
  <c r="L451" i="1"/>
  <c r="M451" i="1"/>
  <c r="O451" i="1"/>
  <c r="P451" i="1"/>
  <c r="A452" i="1"/>
  <c r="B452" i="1"/>
  <c r="D452" i="1"/>
  <c r="E452" i="1"/>
  <c r="F452" i="1"/>
  <c r="G452" i="1"/>
  <c r="H452" i="1"/>
  <c r="I452" i="1"/>
  <c r="J452" i="1"/>
  <c r="K452" i="1"/>
  <c r="L452" i="1"/>
  <c r="M452" i="1"/>
  <c r="O452" i="1"/>
  <c r="P452" i="1"/>
  <c r="A453" i="1"/>
  <c r="B453" i="1"/>
  <c r="D453" i="1"/>
  <c r="E453" i="1"/>
  <c r="F453" i="1"/>
  <c r="G453" i="1"/>
  <c r="H453" i="1"/>
  <c r="I453" i="1"/>
  <c r="J453" i="1"/>
  <c r="K453" i="1"/>
  <c r="L453" i="1"/>
  <c r="M453" i="1"/>
  <c r="O453" i="1"/>
  <c r="P453" i="1"/>
  <c r="A454" i="1"/>
  <c r="B454" i="1"/>
  <c r="D454" i="1"/>
  <c r="E454" i="1"/>
  <c r="F454" i="1"/>
  <c r="G454" i="1"/>
  <c r="H454" i="1"/>
  <c r="I454" i="1"/>
  <c r="J454" i="1"/>
  <c r="K454" i="1"/>
  <c r="L454" i="1"/>
  <c r="M454" i="1"/>
  <c r="O454" i="1"/>
  <c r="P454" i="1"/>
  <c r="A455" i="1"/>
  <c r="B455" i="1"/>
  <c r="D455" i="1"/>
  <c r="E455" i="1"/>
  <c r="F455" i="1"/>
  <c r="G455" i="1"/>
  <c r="H455" i="1"/>
  <c r="I455" i="1"/>
  <c r="J455" i="1"/>
  <c r="K455" i="1"/>
  <c r="L455" i="1"/>
  <c r="M455" i="1"/>
  <c r="O455" i="1"/>
  <c r="P455" i="1"/>
  <c r="A456" i="1"/>
  <c r="B456" i="1"/>
  <c r="D456" i="1"/>
  <c r="E456" i="1"/>
  <c r="F456" i="1"/>
  <c r="G456" i="1"/>
  <c r="H456" i="1"/>
  <c r="I456" i="1"/>
  <c r="J456" i="1"/>
  <c r="K456" i="1"/>
  <c r="L456" i="1"/>
  <c r="M456" i="1"/>
  <c r="O456" i="1"/>
  <c r="P456" i="1"/>
  <c r="A457" i="1"/>
  <c r="B457" i="1"/>
  <c r="D457" i="1"/>
  <c r="E457" i="1"/>
  <c r="F457" i="1"/>
  <c r="G457" i="1"/>
  <c r="H457" i="1"/>
  <c r="I457" i="1"/>
  <c r="J457" i="1"/>
  <c r="K457" i="1"/>
  <c r="L457" i="1"/>
  <c r="M457" i="1"/>
  <c r="O457" i="1"/>
  <c r="P457" i="1"/>
  <c r="A458" i="1"/>
  <c r="B458" i="1"/>
  <c r="D458" i="1"/>
  <c r="E458" i="1"/>
  <c r="F458" i="1"/>
  <c r="G458" i="1"/>
  <c r="H458" i="1"/>
  <c r="I458" i="1"/>
  <c r="J458" i="1"/>
  <c r="K458" i="1"/>
  <c r="L458" i="1"/>
  <c r="M458" i="1"/>
  <c r="O458" i="1"/>
  <c r="P458" i="1"/>
  <c r="A459" i="1"/>
  <c r="B459" i="1"/>
  <c r="D459" i="1"/>
  <c r="E459" i="1"/>
  <c r="F459" i="1"/>
  <c r="G459" i="1"/>
  <c r="H459" i="1"/>
  <c r="I459" i="1"/>
  <c r="J459" i="1"/>
  <c r="K459" i="1"/>
  <c r="L459" i="1"/>
  <c r="M459" i="1"/>
  <c r="O459" i="1"/>
  <c r="P459" i="1"/>
  <c r="A460" i="1"/>
  <c r="B460" i="1"/>
  <c r="D460" i="1"/>
  <c r="E460" i="1"/>
  <c r="F460" i="1"/>
  <c r="G460" i="1"/>
  <c r="H460" i="1"/>
  <c r="I460" i="1"/>
  <c r="J460" i="1"/>
  <c r="K460" i="1"/>
  <c r="L460" i="1"/>
  <c r="M460" i="1"/>
  <c r="O460" i="1"/>
  <c r="P460" i="1"/>
  <c r="A461" i="1"/>
  <c r="B461" i="1"/>
  <c r="D461" i="1"/>
  <c r="E461" i="1"/>
  <c r="F461" i="1"/>
  <c r="G461" i="1"/>
  <c r="H461" i="1"/>
  <c r="I461" i="1"/>
  <c r="J461" i="1"/>
  <c r="K461" i="1"/>
  <c r="L461" i="1"/>
  <c r="M461" i="1"/>
  <c r="O461" i="1"/>
  <c r="P461" i="1"/>
  <c r="A462" i="1"/>
  <c r="B462" i="1"/>
  <c r="D462" i="1"/>
  <c r="E462" i="1"/>
  <c r="F462" i="1"/>
  <c r="G462" i="1"/>
  <c r="H462" i="1"/>
  <c r="I462" i="1"/>
  <c r="J462" i="1"/>
  <c r="K462" i="1"/>
  <c r="L462" i="1"/>
  <c r="M462" i="1"/>
  <c r="O462" i="1"/>
  <c r="P462" i="1"/>
  <c r="A463" i="1"/>
  <c r="B463" i="1"/>
  <c r="D463" i="1"/>
  <c r="E463" i="1"/>
  <c r="F463" i="1"/>
  <c r="G463" i="1"/>
  <c r="H463" i="1"/>
  <c r="I463" i="1"/>
  <c r="J463" i="1"/>
  <c r="K463" i="1"/>
  <c r="L463" i="1"/>
  <c r="M463" i="1"/>
  <c r="O463" i="1"/>
  <c r="P463" i="1"/>
  <c r="A464" i="1"/>
  <c r="B464" i="1"/>
  <c r="D464" i="1"/>
  <c r="E464" i="1"/>
  <c r="F464" i="1"/>
  <c r="G464" i="1"/>
  <c r="H464" i="1"/>
  <c r="I464" i="1"/>
  <c r="J464" i="1"/>
  <c r="K464" i="1"/>
  <c r="L464" i="1"/>
  <c r="M464" i="1"/>
  <c r="O464" i="1"/>
  <c r="P464" i="1"/>
  <c r="A465" i="1"/>
  <c r="B465" i="1"/>
  <c r="D465" i="1"/>
  <c r="E465" i="1"/>
  <c r="F465" i="1"/>
  <c r="G465" i="1"/>
  <c r="H465" i="1"/>
  <c r="I465" i="1"/>
  <c r="J465" i="1"/>
  <c r="K465" i="1"/>
  <c r="L465" i="1"/>
  <c r="M465" i="1"/>
  <c r="O465" i="1"/>
  <c r="P465" i="1"/>
  <c r="A466" i="1"/>
  <c r="B466" i="1"/>
  <c r="D466" i="1"/>
  <c r="E466" i="1"/>
  <c r="F466" i="1"/>
  <c r="G466" i="1"/>
  <c r="H466" i="1"/>
  <c r="I466" i="1"/>
  <c r="J466" i="1"/>
  <c r="K466" i="1"/>
  <c r="L466" i="1"/>
  <c r="M466" i="1"/>
  <c r="O466" i="1"/>
  <c r="P466" i="1"/>
  <c r="A467" i="1"/>
  <c r="B467" i="1"/>
  <c r="D467" i="1"/>
  <c r="E467" i="1"/>
  <c r="F467" i="1"/>
  <c r="G467" i="1"/>
  <c r="H467" i="1"/>
  <c r="I467" i="1"/>
  <c r="J467" i="1"/>
  <c r="K467" i="1"/>
  <c r="L467" i="1"/>
  <c r="M467" i="1"/>
  <c r="O467" i="1"/>
  <c r="P467" i="1"/>
  <c r="A468" i="1"/>
  <c r="B468" i="1"/>
  <c r="D468" i="1"/>
  <c r="E468" i="1"/>
  <c r="F468" i="1"/>
  <c r="G468" i="1"/>
  <c r="H468" i="1"/>
  <c r="I468" i="1"/>
  <c r="J468" i="1"/>
  <c r="K468" i="1"/>
  <c r="L468" i="1"/>
  <c r="M468" i="1"/>
  <c r="O468" i="1"/>
  <c r="P468" i="1"/>
  <c r="A469" i="1"/>
  <c r="B469" i="1"/>
  <c r="D469" i="1"/>
  <c r="E469" i="1"/>
  <c r="F469" i="1"/>
  <c r="G469" i="1"/>
  <c r="H469" i="1"/>
  <c r="I469" i="1"/>
  <c r="J469" i="1"/>
  <c r="K469" i="1"/>
  <c r="L469" i="1"/>
  <c r="M469" i="1"/>
  <c r="O469" i="1"/>
  <c r="P469" i="1"/>
  <c r="A470" i="1"/>
  <c r="B470" i="1"/>
  <c r="D470" i="1"/>
  <c r="E470" i="1"/>
  <c r="F470" i="1"/>
  <c r="G470" i="1"/>
  <c r="H470" i="1"/>
  <c r="I470" i="1"/>
  <c r="J470" i="1"/>
  <c r="K470" i="1"/>
  <c r="L470" i="1"/>
  <c r="M470" i="1"/>
  <c r="O470" i="1"/>
  <c r="P470" i="1"/>
  <c r="A471" i="1"/>
  <c r="B471" i="1"/>
  <c r="D471" i="1"/>
  <c r="E471" i="1"/>
  <c r="F471" i="1"/>
  <c r="G471" i="1"/>
  <c r="H471" i="1"/>
  <c r="I471" i="1"/>
  <c r="J471" i="1"/>
  <c r="K471" i="1"/>
  <c r="L471" i="1"/>
  <c r="M471" i="1"/>
  <c r="O471" i="1"/>
  <c r="P471" i="1"/>
  <c r="A472" i="1"/>
  <c r="B472" i="1"/>
  <c r="D472" i="1"/>
  <c r="E472" i="1"/>
  <c r="F472" i="1"/>
  <c r="G472" i="1"/>
  <c r="H472" i="1"/>
  <c r="I472" i="1"/>
  <c r="J472" i="1"/>
  <c r="K472" i="1"/>
  <c r="L472" i="1"/>
  <c r="M472" i="1"/>
  <c r="O472" i="1"/>
  <c r="P472" i="1"/>
  <c r="A473" i="1"/>
  <c r="B473" i="1"/>
  <c r="D473" i="1"/>
  <c r="E473" i="1"/>
  <c r="F473" i="1"/>
  <c r="G473" i="1"/>
  <c r="H473" i="1"/>
  <c r="I473" i="1"/>
  <c r="J473" i="1"/>
  <c r="K473" i="1"/>
  <c r="L473" i="1"/>
  <c r="M473" i="1"/>
  <c r="O473" i="1"/>
  <c r="P473" i="1"/>
  <c r="A474" i="1"/>
  <c r="B474" i="1"/>
  <c r="D474" i="1"/>
  <c r="E474" i="1"/>
  <c r="F474" i="1"/>
  <c r="G474" i="1"/>
  <c r="H474" i="1"/>
  <c r="I474" i="1"/>
  <c r="J474" i="1"/>
  <c r="K474" i="1"/>
  <c r="L474" i="1"/>
  <c r="M474" i="1"/>
  <c r="O474" i="1"/>
  <c r="P474" i="1"/>
  <c r="A475" i="1"/>
  <c r="B475" i="1"/>
  <c r="D475" i="1"/>
  <c r="E475" i="1"/>
  <c r="F475" i="1"/>
  <c r="G475" i="1"/>
  <c r="H475" i="1"/>
  <c r="I475" i="1"/>
  <c r="J475" i="1"/>
  <c r="K475" i="1"/>
  <c r="L475" i="1"/>
  <c r="M475" i="1"/>
  <c r="O475" i="1"/>
  <c r="P475" i="1"/>
  <c r="A476" i="1"/>
  <c r="B476" i="1"/>
  <c r="D476" i="1"/>
  <c r="E476" i="1"/>
  <c r="F476" i="1"/>
  <c r="G476" i="1"/>
  <c r="H476" i="1"/>
  <c r="I476" i="1"/>
  <c r="J476" i="1"/>
  <c r="K476" i="1"/>
  <c r="L476" i="1"/>
  <c r="M476" i="1"/>
  <c r="O476" i="1"/>
  <c r="P476" i="1"/>
  <c r="A477" i="1"/>
  <c r="B477" i="1"/>
  <c r="D477" i="1"/>
  <c r="E477" i="1"/>
  <c r="F477" i="1"/>
  <c r="G477" i="1"/>
  <c r="H477" i="1"/>
  <c r="I477" i="1"/>
  <c r="J477" i="1"/>
  <c r="K477" i="1"/>
  <c r="L477" i="1"/>
  <c r="M477" i="1"/>
  <c r="O477" i="1"/>
  <c r="P477" i="1"/>
  <c r="A478" i="1"/>
  <c r="B478" i="1"/>
  <c r="D478" i="1"/>
  <c r="E478" i="1"/>
  <c r="F478" i="1"/>
  <c r="G478" i="1"/>
  <c r="H478" i="1"/>
  <c r="I478" i="1"/>
  <c r="J478" i="1"/>
  <c r="K478" i="1"/>
  <c r="L478" i="1"/>
  <c r="M478" i="1"/>
  <c r="O478" i="1"/>
  <c r="P478" i="1"/>
  <c r="A479" i="1"/>
  <c r="B479" i="1"/>
  <c r="D479" i="1"/>
  <c r="E479" i="1"/>
  <c r="F479" i="1"/>
  <c r="G479" i="1"/>
  <c r="H479" i="1"/>
  <c r="I479" i="1"/>
  <c r="J479" i="1"/>
  <c r="K479" i="1"/>
  <c r="L479" i="1"/>
  <c r="M479" i="1"/>
  <c r="O479" i="1"/>
  <c r="P479" i="1"/>
  <c r="A480" i="1"/>
  <c r="B480" i="1"/>
  <c r="D480" i="1"/>
  <c r="E480" i="1"/>
  <c r="F480" i="1"/>
  <c r="G480" i="1"/>
  <c r="H480" i="1"/>
  <c r="I480" i="1"/>
  <c r="J480" i="1"/>
  <c r="K480" i="1"/>
  <c r="L480" i="1"/>
  <c r="M480" i="1"/>
  <c r="O480" i="1"/>
  <c r="P480" i="1"/>
  <c r="A481" i="1"/>
  <c r="B481" i="1"/>
  <c r="D481" i="1"/>
  <c r="E481" i="1"/>
  <c r="F481" i="1"/>
  <c r="G481" i="1"/>
  <c r="H481" i="1"/>
  <c r="I481" i="1"/>
  <c r="J481" i="1"/>
  <c r="K481" i="1"/>
  <c r="L481" i="1"/>
  <c r="M481" i="1"/>
  <c r="O481" i="1"/>
  <c r="P481" i="1"/>
  <c r="A482" i="1"/>
  <c r="B482" i="1"/>
  <c r="D482" i="1"/>
  <c r="E482" i="1"/>
  <c r="F482" i="1"/>
  <c r="G482" i="1"/>
  <c r="H482" i="1"/>
  <c r="I482" i="1"/>
  <c r="J482" i="1"/>
  <c r="K482" i="1"/>
  <c r="L482" i="1"/>
  <c r="M482" i="1"/>
  <c r="O482" i="1"/>
  <c r="P482" i="1"/>
  <c r="A483" i="1"/>
  <c r="B483" i="1"/>
  <c r="D483" i="1"/>
  <c r="E483" i="1"/>
  <c r="F483" i="1"/>
  <c r="G483" i="1"/>
  <c r="H483" i="1"/>
  <c r="I483" i="1"/>
  <c r="J483" i="1"/>
  <c r="K483" i="1"/>
  <c r="L483" i="1"/>
  <c r="M483" i="1"/>
  <c r="O483" i="1"/>
  <c r="P483" i="1"/>
  <c r="A484" i="1"/>
  <c r="B484" i="1"/>
  <c r="D484" i="1"/>
  <c r="E484" i="1"/>
  <c r="F484" i="1"/>
  <c r="G484" i="1"/>
  <c r="H484" i="1"/>
  <c r="I484" i="1"/>
  <c r="J484" i="1"/>
  <c r="K484" i="1"/>
  <c r="L484" i="1"/>
  <c r="M484" i="1"/>
  <c r="O484" i="1"/>
  <c r="P484" i="1"/>
  <c r="A485" i="1"/>
  <c r="B485" i="1"/>
  <c r="D485" i="1"/>
  <c r="E485" i="1"/>
  <c r="F485" i="1"/>
  <c r="G485" i="1"/>
  <c r="H485" i="1"/>
  <c r="I485" i="1"/>
  <c r="J485" i="1"/>
  <c r="K485" i="1"/>
  <c r="L485" i="1"/>
  <c r="M485" i="1"/>
  <c r="O485" i="1"/>
  <c r="P485" i="1"/>
  <c r="A486" i="1"/>
  <c r="B486" i="1"/>
  <c r="D486" i="1"/>
  <c r="E486" i="1"/>
  <c r="F486" i="1"/>
  <c r="G486" i="1"/>
  <c r="H486" i="1"/>
  <c r="I486" i="1"/>
  <c r="J486" i="1"/>
  <c r="K486" i="1"/>
  <c r="L486" i="1"/>
  <c r="M486" i="1"/>
  <c r="O486" i="1"/>
  <c r="P486" i="1"/>
  <c r="A487" i="1"/>
  <c r="B487" i="1"/>
  <c r="D487" i="1"/>
  <c r="E487" i="1"/>
  <c r="F487" i="1"/>
  <c r="G487" i="1"/>
  <c r="H487" i="1"/>
  <c r="I487" i="1"/>
  <c r="J487" i="1"/>
  <c r="K487" i="1"/>
  <c r="L487" i="1"/>
  <c r="M487" i="1"/>
  <c r="O487" i="1"/>
  <c r="P487" i="1"/>
  <c r="A488" i="1"/>
  <c r="B488" i="1"/>
  <c r="D488" i="1"/>
  <c r="E488" i="1"/>
  <c r="F488" i="1"/>
  <c r="G488" i="1"/>
  <c r="H488" i="1"/>
  <c r="I488" i="1"/>
  <c r="J488" i="1"/>
  <c r="K488" i="1"/>
  <c r="L488" i="1"/>
  <c r="M488" i="1"/>
  <c r="O488" i="1"/>
  <c r="P488" i="1"/>
  <c r="A489" i="1"/>
  <c r="B489" i="1"/>
  <c r="D489" i="1"/>
  <c r="E489" i="1"/>
  <c r="F489" i="1"/>
  <c r="G489" i="1"/>
  <c r="H489" i="1"/>
  <c r="I489" i="1"/>
  <c r="J489" i="1"/>
  <c r="K489" i="1"/>
  <c r="L489" i="1"/>
  <c r="M489" i="1"/>
  <c r="O489" i="1"/>
  <c r="P489" i="1"/>
  <c r="A490" i="1"/>
  <c r="B490" i="1"/>
  <c r="D490" i="1"/>
  <c r="E490" i="1"/>
  <c r="F490" i="1"/>
  <c r="G490" i="1"/>
  <c r="H490" i="1"/>
  <c r="I490" i="1"/>
  <c r="J490" i="1"/>
  <c r="K490" i="1"/>
  <c r="L490" i="1"/>
  <c r="M490" i="1"/>
  <c r="O490" i="1"/>
  <c r="P490" i="1"/>
  <c r="A491" i="1"/>
  <c r="B491" i="1"/>
  <c r="D491" i="1"/>
  <c r="E491" i="1"/>
  <c r="F491" i="1"/>
  <c r="G491" i="1"/>
  <c r="H491" i="1"/>
  <c r="I491" i="1"/>
  <c r="J491" i="1"/>
  <c r="K491" i="1"/>
  <c r="L491" i="1"/>
  <c r="M491" i="1"/>
  <c r="O491" i="1"/>
  <c r="P491" i="1"/>
  <c r="A492" i="1"/>
  <c r="B492" i="1"/>
  <c r="D492" i="1"/>
  <c r="E492" i="1"/>
  <c r="F492" i="1"/>
  <c r="G492" i="1"/>
  <c r="H492" i="1"/>
  <c r="I492" i="1"/>
  <c r="J492" i="1"/>
  <c r="K492" i="1"/>
  <c r="L492" i="1"/>
  <c r="M492" i="1"/>
  <c r="O492" i="1"/>
  <c r="P492" i="1"/>
  <c r="A493" i="1"/>
  <c r="B493" i="1"/>
  <c r="D493" i="1"/>
  <c r="E493" i="1"/>
  <c r="F493" i="1"/>
  <c r="G493" i="1"/>
  <c r="H493" i="1"/>
  <c r="I493" i="1"/>
  <c r="J493" i="1"/>
  <c r="K493" i="1"/>
  <c r="L493" i="1"/>
  <c r="M493" i="1"/>
  <c r="O493" i="1"/>
  <c r="P493" i="1"/>
  <c r="A494" i="1"/>
  <c r="B494" i="1"/>
  <c r="D494" i="1"/>
  <c r="E494" i="1"/>
  <c r="F494" i="1"/>
  <c r="G494" i="1"/>
  <c r="H494" i="1"/>
  <c r="I494" i="1"/>
  <c r="J494" i="1"/>
  <c r="K494" i="1"/>
  <c r="L494" i="1"/>
  <c r="M494" i="1"/>
  <c r="O494" i="1"/>
  <c r="P494" i="1"/>
  <c r="A495" i="1"/>
  <c r="B495" i="1"/>
  <c r="D495" i="1"/>
  <c r="E495" i="1"/>
  <c r="F495" i="1"/>
  <c r="G495" i="1"/>
  <c r="H495" i="1"/>
  <c r="I495" i="1"/>
  <c r="J495" i="1"/>
  <c r="K495" i="1"/>
  <c r="L495" i="1"/>
  <c r="M495" i="1"/>
  <c r="O495" i="1"/>
  <c r="P495" i="1"/>
  <c r="A496" i="1"/>
  <c r="B496" i="1"/>
  <c r="D496" i="1"/>
  <c r="E496" i="1"/>
  <c r="F496" i="1"/>
  <c r="G496" i="1"/>
  <c r="H496" i="1"/>
  <c r="I496" i="1"/>
  <c r="J496" i="1"/>
  <c r="K496" i="1"/>
  <c r="L496" i="1"/>
  <c r="M496" i="1"/>
  <c r="O496" i="1"/>
  <c r="P496" i="1"/>
  <c r="A497" i="1"/>
  <c r="B497" i="1"/>
  <c r="D497" i="1"/>
  <c r="E497" i="1"/>
  <c r="F497" i="1"/>
  <c r="G497" i="1"/>
  <c r="H497" i="1"/>
  <c r="I497" i="1"/>
  <c r="J497" i="1"/>
  <c r="K497" i="1"/>
  <c r="L497" i="1"/>
  <c r="M497" i="1"/>
  <c r="O497" i="1"/>
  <c r="P497" i="1"/>
  <c r="A498" i="1"/>
  <c r="B498" i="1"/>
  <c r="D498" i="1"/>
  <c r="E498" i="1"/>
  <c r="F498" i="1"/>
  <c r="G498" i="1"/>
  <c r="H498" i="1"/>
  <c r="I498" i="1"/>
  <c r="J498" i="1"/>
  <c r="K498" i="1"/>
  <c r="L498" i="1"/>
  <c r="M498" i="1"/>
  <c r="O498" i="1"/>
  <c r="P498" i="1"/>
  <c r="A499" i="1"/>
  <c r="B499" i="1"/>
  <c r="D499" i="1"/>
  <c r="E499" i="1"/>
  <c r="F499" i="1"/>
  <c r="G499" i="1"/>
  <c r="H499" i="1"/>
  <c r="I499" i="1"/>
  <c r="J499" i="1"/>
  <c r="K499" i="1"/>
  <c r="L499" i="1"/>
  <c r="M499" i="1"/>
  <c r="O499" i="1"/>
  <c r="P499" i="1"/>
  <c r="A500" i="1"/>
  <c r="B500" i="1"/>
  <c r="D500" i="1"/>
  <c r="E500" i="1"/>
  <c r="F500" i="1"/>
  <c r="G500" i="1"/>
  <c r="H500" i="1"/>
  <c r="I500" i="1"/>
  <c r="J500" i="1"/>
  <c r="K500" i="1"/>
  <c r="L500" i="1"/>
  <c r="M500" i="1"/>
  <c r="O500" i="1"/>
  <c r="P500" i="1"/>
  <c r="A501" i="1"/>
  <c r="B501" i="1"/>
  <c r="D501" i="1"/>
  <c r="E501" i="1"/>
  <c r="F501" i="1"/>
  <c r="G501" i="1"/>
  <c r="H501" i="1"/>
  <c r="I501" i="1"/>
  <c r="J501" i="1"/>
  <c r="K501" i="1"/>
  <c r="L501" i="1"/>
  <c r="M501" i="1"/>
  <c r="O501" i="1"/>
  <c r="P501" i="1"/>
  <c r="A502" i="1"/>
  <c r="B502" i="1"/>
  <c r="D502" i="1"/>
  <c r="E502" i="1"/>
  <c r="F502" i="1"/>
  <c r="G502" i="1"/>
  <c r="H502" i="1"/>
  <c r="I502" i="1"/>
  <c r="J502" i="1"/>
  <c r="K502" i="1"/>
  <c r="L502" i="1"/>
  <c r="M502" i="1"/>
  <c r="O502" i="1"/>
  <c r="P502" i="1"/>
  <c r="A503" i="1"/>
  <c r="B503" i="1"/>
  <c r="D503" i="1"/>
  <c r="E503" i="1"/>
  <c r="F503" i="1"/>
  <c r="G503" i="1"/>
  <c r="H503" i="1"/>
  <c r="I503" i="1"/>
  <c r="J503" i="1"/>
  <c r="K503" i="1"/>
  <c r="L503" i="1"/>
  <c r="M503" i="1"/>
  <c r="O503" i="1"/>
  <c r="P503" i="1"/>
  <c r="A504" i="1"/>
  <c r="B504" i="1"/>
  <c r="D504" i="1"/>
  <c r="E504" i="1"/>
  <c r="F504" i="1"/>
  <c r="G504" i="1"/>
  <c r="H504" i="1"/>
  <c r="I504" i="1"/>
  <c r="J504" i="1"/>
  <c r="K504" i="1"/>
  <c r="L504" i="1"/>
  <c r="M504" i="1"/>
  <c r="O504" i="1"/>
  <c r="P504" i="1"/>
  <c r="A505" i="1"/>
  <c r="B505" i="1"/>
  <c r="D505" i="1"/>
  <c r="E505" i="1"/>
  <c r="F505" i="1"/>
  <c r="G505" i="1"/>
  <c r="H505" i="1"/>
  <c r="I505" i="1"/>
  <c r="J505" i="1"/>
  <c r="K505" i="1"/>
  <c r="L505" i="1"/>
  <c r="M505" i="1"/>
  <c r="O505" i="1"/>
  <c r="P505" i="1"/>
  <c r="A506" i="1"/>
  <c r="B506" i="1"/>
  <c r="D506" i="1"/>
  <c r="E506" i="1"/>
  <c r="F506" i="1"/>
  <c r="G506" i="1"/>
  <c r="H506" i="1"/>
  <c r="I506" i="1"/>
  <c r="J506" i="1"/>
  <c r="K506" i="1"/>
  <c r="L506" i="1"/>
  <c r="M506" i="1"/>
  <c r="O506" i="1"/>
  <c r="P506" i="1"/>
  <c r="A507" i="1"/>
  <c r="B507" i="1"/>
  <c r="D507" i="1"/>
  <c r="E507" i="1"/>
  <c r="F507" i="1"/>
  <c r="G507" i="1"/>
  <c r="H507" i="1"/>
  <c r="I507" i="1"/>
  <c r="J507" i="1"/>
  <c r="K507" i="1"/>
  <c r="L507" i="1"/>
  <c r="M507" i="1"/>
  <c r="O507" i="1"/>
  <c r="P507" i="1"/>
  <c r="A508" i="1"/>
  <c r="B508" i="1"/>
  <c r="D508" i="1"/>
  <c r="E508" i="1"/>
  <c r="F508" i="1"/>
  <c r="G508" i="1"/>
  <c r="H508" i="1"/>
  <c r="I508" i="1"/>
  <c r="J508" i="1"/>
  <c r="K508" i="1"/>
  <c r="L508" i="1"/>
  <c r="M508" i="1"/>
  <c r="O508" i="1"/>
  <c r="P508" i="1"/>
  <c r="A509" i="1"/>
  <c r="B509" i="1"/>
  <c r="D509" i="1"/>
  <c r="E509" i="1"/>
  <c r="F509" i="1"/>
  <c r="G509" i="1"/>
  <c r="H509" i="1"/>
  <c r="I509" i="1"/>
  <c r="J509" i="1"/>
  <c r="K509" i="1"/>
  <c r="L509" i="1"/>
  <c r="M509" i="1"/>
  <c r="O509" i="1"/>
  <c r="P509" i="1"/>
  <c r="A510" i="1"/>
  <c r="B510" i="1"/>
  <c r="D510" i="1"/>
  <c r="E510" i="1"/>
  <c r="F510" i="1"/>
  <c r="G510" i="1"/>
  <c r="H510" i="1"/>
  <c r="I510" i="1"/>
  <c r="J510" i="1"/>
  <c r="K510" i="1"/>
  <c r="L510" i="1"/>
  <c r="M510" i="1"/>
  <c r="O510" i="1"/>
  <c r="P510" i="1"/>
  <c r="A511" i="1"/>
  <c r="B511" i="1"/>
  <c r="D511" i="1"/>
  <c r="E511" i="1"/>
  <c r="F511" i="1"/>
  <c r="G511" i="1"/>
  <c r="H511" i="1"/>
  <c r="I511" i="1"/>
  <c r="J511" i="1"/>
  <c r="K511" i="1"/>
  <c r="L511" i="1"/>
  <c r="M511" i="1"/>
  <c r="O511" i="1"/>
  <c r="P511" i="1"/>
  <c r="A512" i="1"/>
  <c r="B512" i="1"/>
  <c r="D512" i="1"/>
  <c r="E512" i="1"/>
  <c r="F512" i="1"/>
  <c r="G512" i="1"/>
  <c r="H512" i="1"/>
  <c r="I512" i="1"/>
  <c r="J512" i="1"/>
  <c r="K512" i="1"/>
  <c r="L512" i="1"/>
  <c r="M512" i="1"/>
  <c r="O512" i="1"/>
  <c r="P512" i="1"/>
  <c r="A513" i="1"/>
  <c r="B513" i="1"/>
  <c r="D513" i="1"/>
  <c r="E513" i="1"/>
  <c r="F513" i="1"/>
  <c r="G513" i="1"/>
  <c r="H513" i="1"/>
  <c r="I513" i="1"/>
  <c r="J513" i="1"/>
  <c r="K513" i="1"/>
  <c r="L513" i="1"/>
  <c r="M513" i="1"/>
  <c r="O513" i="1"/>
  <c r="P513" i="1"/>
  <c r="A514" i="1"/>
  <c r="B514" i="1"/>
  <c r="D514" i="1"/>
  <c r="E514" i="1"/>
  <c r="F514" i="1"/>
  <c r="G514" i="1"/>
  <c r="H514" i="1"/>
  <c r="I514" i="1"/>
  <c r="J514" i="1"/>
  <c r="K514" i="1"/>
  <c r="L514" i="1"/>
  <c r="M514" i="1"/>
  <c r="O514" i="1"/>
  <c r="P514" i="1"/>
  <c r="A515" i="1"/>
  <c r="B515" i="1"/>
  <c r="D515" i="1"/>
  <c r="E515" i="1"/>
  <c r="F515" i="1"/>
  <c r="G515" i="1"/>
  <c r="H515" i="1"/>
  <c r="I515" i="1"/>
  <c r="J515" i="1"/>
  <c r="K515" i="1"/>
  <c r="L515" i="1"/>
  <c r="M515" i="1"/>
  <c r="O515" i="1"/>
  <c r="P515" i="1"/>
  <c r="A516" i="1"/>
  <c r="B516" i="1"/>
  <c r="D516" i="1"/>
  <c r="E516" i="1"/>
  <c r="F516" i="1"/>
  <c r="G516" i="1"/>
  <c r="H516" i="1"/>
  <c r="I516" i="1"/>
  <c r="J516" i="1"/>
  <c r="K516" i="1"/>
  <c r="L516" i="1"/>
  <c r="M516" i="1"/>
  <c r="O516" i="1"/>
  <c r="P516" i="1"/>
  <c r="A517" i="1"/>
  <c r="B517" i="1"/>
  <c r="D517" i="1"/>
  <c r="E517" i="1"/>
  <c r="F517" i="1"/>
  <c r="G517" i="1"/>
  <c r="H517" i="1"/>
  <c r="I517" i="1"/>
  <c r="J517" i="1"/>
  <c r="K517" i="1"/>
  <c r="L517" i="1"/>
  <c r="M517" i="1"/>
  <c r="O517" i="1"/>
  <c r="P517" i="1"/>
  <c r="A518" i="1"/>
  <c r="B518" i="1"/>
  <c r="D518" i="1"/>
  <c r="E518" i="1"/>
  <c r="F518" i="1"/>
  <c r="G518" i="1"/>
  <c r="H518" i="1"/>
  <c r="I518" i="1"/>
  <c r="J518" i="1"/>
  <c r="K518" i="1"/>
  <c r="L518" i="1"/>
  <c r="M518" i="1"/>
  <c r="O518" i="1"/>
  <c r="P518" i="1"/>
  <c r="A519" i="1"/>
  <c r="B519" i="1"/>
  <c r="D519" i="1"/>
  <c r="E519" i="1"/>
  <c r="F519" i="1"/>
  <c r="G519" i="1"/>
  <c r="H519" i="1"/>
  <c r="I519" i="1"/>
  <c r="J519" i="1"/>
  <c r="K519" i="1"/>
  <c r="L519" i="1"/>
  <c r="M519" i="1"/>
  <c r="O519" i="1"/>
  <c r="P519" i="1"/>
  <c r="A520" i="1"/>
  <c r="B520" i="1"/>
  <c r="D520" i="1"/>
  <c r="E520" i="1"/>
  <c r="F520" i="1"/>
  <c r="G520" i="1"/>
  <c r="H520" i="1"/>
  <c r="I520" i="1"/>
  <c r="J520" i="1"/>
  <c r="K520" i="1"/>
  <c r="L520" i="1"/>
  <c r="M520" i="1"/>
  <c r="O520" i="1"/>
  <c r="P520" i="1"/>
  <c r="A521" i="1"/>
  <c r="B521" i="1"/>
  <c r="D521" i="1"/>
  <c r="E521" i="1"/>
  <c r="F521" i="1"/>
  <c r="G521" i="1"/>
  <c r="H521" i="1"/>
  <c r="I521" i="1"/>
  <c r="J521" i="1"/>
  <c r="K521" i="1"/>
  <c r="L521" i="1"/>
  <c r="M521" i="1"/>
  <c r="O521" i="1"/>
  <c r="P521" i="1"/>
  <c r="A522" i="1"/>
  <c r="B522" i="1"/>
  <c r="D522" i="1"/>
  <c r="E522" i="1"/>
  <c r="F522" i="1"/>
  <c r="G522" i="1"/>
  <c r="H522" i="1"/>
  <c r="I522" i="1"/>
  <c r="J522" i="1"/>
  <c r="K522" i="1"/>
  <c r="L522" i="1"/>
  <c r="M522" i="1"/>
  <c r="O522" i="1"/>
  <c r="P522" i="1"/>
  <c r="A523" i="1"/>
  <c r="B523" i="1"/>
  <c r="D523" i="1"/>
  <c r="E523" i="1"/>
  <c r="F523" i="1"/>
  <c r="G523" i="1"/>
  <c r="H523" i="1"/>
  <c r="I523" i="1"/>
  <c r="J523" i="1"/>
  <c r="K523" i="1"/>
  <c r="L523" i="1"/>
  <c r="M523" i="1"/>
  <c r="O523" i="1"/>
  <c r="P523" i="1"/>
  <c r="A524" i="1"/>
  <c r="B524" i="1"/>
  <c r="D524" i="1"/>
  <c r="E524" i="1"/>
  <c r="F524" i="1"/>
  <c r="G524" i="1"/>
  <c r="H524" i="1"/>
  <c r="I524" i="1"/>
  <c r="J524" i="1"/>
  <c r="K524" i="1"/>
  <c r="L524" i="1"/>
  <c r="M524" i="1"/>
  <c r="O524" i="1"/>
  <c r="P524" i="1"/>
  <c r="A525" i="1"/>
  <c r="B525" i="1"/>
  <c r="D525" i="1"/>
  <c r="E525" i="1"/>
  <c r="F525" i="1"/>
  <c r="G525" i="1"/>
  <c r="H525" i="1"/>
  <c r="I525" i="1"/>
  <c r="J525" i="1"/>
  <c r="K525" i="1"/>
  <c r="L525" i="1"/>
  <c r="M525" i="1"/>
  <c r="O525" i="1"/>
  <c r="P525" i="1"/>
  <c r="A526" i="1"/>
  <c r="B526" i="1"/>
  <c r="D526" i="1"/>
  <c r="E526" i="1"/>
  <c r="F526" i="1"/>
  <c r="G526" i="1"/>
  <c r="H526" i="1"/>
  <c r="I526" i="1"/>
  <c r="J526" i="1"/>
  <c r="K526" i="1"/>
  <c r="L526" i="1"/>
  <c r="M526" i="1"/>
  <c r="O526" i="1"/>
  <c r="P526" i="1"/>
  <c r="A527" i="1"/>
  <c r="B527" i="1"/>
  <c r="D527" i="1"/>
  <c r="E527" i="1"/>
  <c r="F527" i="1"/>
  <c r="G527" i="1"/>
  <c r="H527" i="1"/>
  <c r="I527" i="1"/>
  <c r="J527" i="1"/>
  <c r="K527" i="1"/>
  <c r="L527" i="1"/>
  <c r="M527" i="1"/>
  <c r="O527" i="1"/>
  <c r="P527" i="1"/>
  <c r="A528" i="1"/>
  <c r="B528" i="1"/>
  <c r="D528" i="1"/>
  <c r="E528" i="1"/>
  <c r="F528" i="1"/>
  <c r="G528" i="1"/>
  <c r="H528" i="1"/>
  <c r="I528" i="1"/>
  <c r="J528" i="1"/>
  <c r="K528" i="1"/>
  <c r="L528" i="1"/>
  <c r="M528" i="1"/>
  <c r="O528" i="1"/>
  <c r="P528" i="1"/>
  <c r="A529" i="1"/>
  <c r="B529" i="1"/>
  <c r="D529" i="1"/>
  <c r="E529" i="1"/>
  <c r="F529" i="1"/>
  <c r="G529" i="1"/>
  <c r="H529" i="1"/>
  <c r="I529" i="1"/>
  <c r="J529" i="1"/>
  <c r="K529" i="1"/>
  <c r="L529" i="1"/>
  <c r="M529" i="1"/>
  <c r="O529" i="1"/>
  <c r="P529" i="1"/>
  <c r="A530" i="1"/>
  <c r="B530" i="1"/>
  <c r="D530" i="1"/>
  <c r="E530" i="1"/>
  <c r="F530" i="1"/>
  <c r="G530" i="1"/>
  <c r="H530" i="1"/>
  <c r="I530" i="1"/>
  <c r="J530" i="1"/>
  <c r="K530" i="1"/>
  <c r="L530" i="1"/>
  <c r="M530" i="1"/>
  <c r="O530" i="1"/>
  <c r="P530" i="1"/>
  <c r="A531" i="1"/>
  <c r="B531" i="1"/>
  <c r="D531" i="1"/>
  <c r="E531" i="1"/>
  <c r="F531" i="1"/>
  <c r="G531" i="1"/>
  <c r="H531" i="1"/>
  <c r="I531" i="1"/>
  <c r="J531" i="1"/>
  <c r="K531" i="1"/>
  <c r="L531" i="1"/>
  <c r="M531" i="1"/>
  <c r="O531" i="1"/>
  <c r="P531" i="1"/>
  <c r="A532" i="1"/>
  <c r="B532" i="1"/>
  <c r="D532" i="1"/>
  <c r="E532" i="1"/>
  <c r="F532" i="1"/>
  <c r="G532" i="1"/>
  <c r="H532" i="1"/>
  <c r="I532" i="1"/>
  <c r="J532" i="1"/>
  <c r="K532" i="1"/>
  <c r="L532" i="1"/>
  <c r="M532" i="1"/>
  <c r="O532" i="1"/>
  <c r="P532" i="1"/>
  <c r="A533" i="1"/>
  <c r="B533" i="1"/>
  <c r="D533" i="1"/>
  <c r="E533" i="1"/>
  <c r="F533" i="1"/>
  <c r="G533" i="1"/>
  <c r="H533" i="1"/>
  <c r="I533" i="1"/>
  <c r="J533" i="1"/>
  <c r="K533" i="1"/>
  <c r="L533" i="1"/>
  <c r="M533" i="1"/>
  <c r="O533" i="1"/>
  <c r="P533" i="1"/>
  <c r="A534" i="1"/>
  <c r="B534" i="1"/>
  <c r="D534" i="1"/>
  <c r="E534" i="1"/>
  <c r="F534" i="1"/>
  <c r="G534" i="1"/>
  <c r="H534" i="1"/>
  <c r="I534" i="1"/>
  <c r="J534" i="1"/>
  <c r="K534" i="1"/>
  <c r="L534" i="1"/>
  <c r="M534" i="1"/>
  <c r="O534" i="1"/>
  <c r="P534" i="1"/>
  <c r="A535" i="1"/>
  <c r="B535" i="1"/>
  <c r="D535" i="1"/>
  <c r="E535" i="1"/>
  <c r="F535" i="1"/>
  <c r="G535" i="1"/>
  <c r="H535" i="1"/>
  <c r="I535" i="1"/>
  <c r="J535" i="1"/>
  <c r="K535" i="1"/>
  <c r="L535" i="1"/>
  <c r="M535" i="1"/>
  <c r="O535" i="1"/>
  <c r="P535" i="1"/>
  <c r="A536" i="1"/>
  <c r="B536" i="1"/>
  <c r="D536" i="1"/>
  <c r="E536" i="1"/>
  <c r="F536" i="1"/>
  <c r="G536" i="1"/>
  <c r="H536" i="1"/>
  <c r="I536" i="1"/>
  <c r="J536" i="1"/>
  <c r="K536" i="1"/>
  <c r="L536" i="1"/>
  <c r="M536" i="1"/>
  <c r="O536" i="1"/>
  <c r="P536" i="1"/>
  <c r="A537" i="1"/>
  <c r="B537" i="1"/>
  <c r="D537" i="1"/>
  <c r="E537" i="1"/>
  <c r="F537" i="1"/>
  <c r="G537" i="1"/>
  <c r="H537" i="1"/>
  <c r="I537" i="1"/>
  <c r="J537" i="1"/>
  <c r="K537" i="1"/>
  <c r="L537" i="1"/>
  <c r="M537" i="1"/>
  <c r="O537" i="1"/>
  <c r="P537" i="1"/>
  <c r="A538" i="1"/>
  <c r="B538" i="1"/>
  <c r="D538" i="1"/>
  <c r="E538" i="1"/>
  <c r="F538" i="1"/>
  <c r="G538" i="1"/>
  <c r="H538" i="1"/>
  <c r="I538" i="1"/>
  <c r="J538" i="1"/>
  <c r="K538" i="1"/>
  <c r="L538" i="1"/>
  <c r="M538" i="1"/>
  <c r="O538" i="1"/>
  <c r="P538" i="1"/>
  <c r="A539" i="1"/>
  <c r="B539" i="1"/>
  <c r="D539" i="1"/>
  <c r="E539" i="1"/>
  <c r="F539" i="1"/>
  <c r="G539" i="1"/>
  <c r="H539" i="1"/>
  <c r="I539" i="1"/>
  <c r="J539" i="1"/>
  <c r="K539" i="1"/>
  <c r="L539" i="1"/>
  <c r="M539" i="1"/>
  <c r="O539" i="1"/>
  <c r="P539" i="1"/>
  <c r="A540" i="1"/>
  <c r="B540" i="1"/>
  <c r="D540" i="1"/>
  <c r="E540" i="1"/>
  <c r="F540" i="1"/>
  <c r="G540" i="1"/>
  <c r="H540" i="1"/>
  <c r="I540" i="1"/>
  <c r="J540" i="1"/>
  <c r="K540" i="1"/>
  <c r="L540" i="1"/>
  <c r="M540" i="1"/>
  <c r="O540" i="1"/>
  <c r="P540" i="1"/>
  <c r="A541" i="1"/>
  <c r="B541" i="1"/>
  <c r="D541" i="1"/>
  <c r="E541" i="1"/>
  <c r="F541" i="1"/>
  <c r="G541" i="1"/>
  <c r="H541" i="1"/>
  <c r="I541" i="1"/>
  <c r="J541" i="1"/>
  <c r="K541" i="1"/>
  <c r="L541" i="1"/>
  <c r="M541" i="1"/>
  <c r="O541" i="1"/>
  <c r="P541" i="1"/>
  <c r="A542" i="1"/>
  <c r="B542" i="1"/>
  <c r="D542" i="1"/>
  <c r="E542" i="1"/>
  <c r="F542" i="1"/>
  <c r="G542" i="1"/>
  <c r="H542" i="1"/>
  <c r="I542" i="1"/>
  <c r="J542" i="1"/>
  <c r="K542" i="1"/>
  <c r="L542" i="1"/>
  <c r="M542" i="1"/>
  <c r="O542" i="1"/>
  <c r="P542" i="1"/>
  <c r="A543" i="1"/>
  <c r="B543" i="1"/>
  <c r="D543" i="1"/>
  <c r="E543" i="1"/>
  <c r="F543" i="1"/>
  <c r="G543" i="1"/>
  <c r="H543" i="1"/>
  <c r="I543" i="1"/>
  <c r="J543" i="1"/>
  <c r="K543" i="1"/>
  <c r="L543" i="1"/>
  <c r="M543" i="1"/>
  <c r="O543" i="1"/>
  <c r="P543" i="1"/>
  <c r="A544" i="1"/>
  <c r="B544" i="1"/>
  <c r="D544" i="1"/>
  <c r="E544" i="1"/>
  <c r="F544" i="1"/>
  <c r="G544" i="1"/>
  <c r="H544" i="1"/>
  <c r="I544" i="1"/>
  <c r="J544" i="1"/>
  <c r="K544" i="1"/>
  <c r="L544" i="1"/>
  <c r="M544" i="1"/>
  <c r="O544" i="1"/>
  <c r="P544" i="1"/>
  <c r="A545" i="1"/>
  <c r="B545" i="1"/>
  <c r="D545" i="1"/>
  <c r="E545" i="1"/>
  <c r="F545" i="1"/>
  <c r="G545" i="1"/>
  <c r="H545" i="1"/>
  <c r="I545" i="1"/>
  <c r="J545" i="1"/>
  <c r="K545" i="1"/>
  <c r="L545" i="1"/>
  <c r="M545" i="1"/>
  <c r="O545" i="1"/>
  <c r="P545" i="1"/>
  <c r="A546" i="1"/>
  <c r="B546" i="1"/>
  <c r="D546" i="1"/>
  <c r="E546" i="1"/>
  <c r="F546" i="1"/>
  <c r="G546" i="1"/>
  <c r="H546" i="1"/>
  <c r="I546" i="1"/>
  <c r="J546" i="1"/>
  <c r="K546" i="1"/>
  <c r="L546" i="1"/>
  <c r="M546" i="1"/>
  <c r="O546" i="1"/>
  <c r="P546" i="1"/>
  <c r="A547" i="1"/>
  <c r="B547" i="1"/>
  <c r="D547" i="1"/>
  <c r="E547" i="1"/>
  <c r="F547" i="1"/>
  <c r="G547" i="1"/>
  <c r="H547" i="1"/>
  <c r="I547" i="1"/>
  <c r="J547" i="1"/>
  <c r="K547" i="1"/>
  <c r="L547" i="1"/>
  <c r="M547" i="1"/>
  <c r="O547" i="1"/>
  <c r="P547" i="1"/>
  <c r="A548" i="1"/>
  <c r="B548" i="1"/>
  <c r="D548" i="1"/>
  <c r="E548" i="1"/>
  <c r="F548" i="1"/>
  <c r="G548" i="1"/>
  <c r="H548" i="1"/>
  <c r="I548" i="1"/>
  <c r="J548" i="1"/>
  <c r="K548" i="1"/>
  <c r="L548" i="1"/>
  <c r="M548" i="1"/>
  <c r="O548" i="1"/>
  <c r="P548" i="1"/>
  <c r="A549" i="1"/>
  <c r="B549" i="1"/>
  <c r="D549" i="1"/>
  <c r="E549" i="1"/>
  <c r="F549" i="1"/>
  <c r="G549" i="1"/>
  <c r="H549" i="1"/>
  <c r="I549" i="1"/>
  <c r="J549" i="1"/>
  <c r="K549" i="1"/>
  <c r="L549" i="1"/>
  <c r="M549" i="1"/>
  <c r="O549" i="1"/>
  <c r="P549" i="1"/>
  <c r="A550" i="1"/>
  <c r="B550" i="1"/>
  <c r="D550" i="1"/>
  <c r="E550" i="1"/>
  <c r="F550" i="1"/>
  <c r="G550" i="1"/>
  <c r="H550" i="1"/>
  <c r="I550" i="1"/>
  <c r="J550" i="1"/>
  <c r="K550" i="1"/>
  <c r="L550" i="1"/>
  <c r="M550" i="1"/>
  <c r="O550" i="1"/>
  <c r="P550" i="1"/>
  <c r="A551" i="1"/>
  <c r="B551" i="1"/>
  <c r="D551" i="1"/>
  <c r="E551" i="1"/>
  <c r="F551" i="1"/>
  <c r="G551" i="1"/>
  <c r="H551" i="1"/>
  <c r="I551" i="1"/>
  <c r="J551" i="1"/>
  <c r="K551" i="1"/>
  <c r="L551" i="1"/>
  <c r="M551" i="1"/>
  <c r="O551" i="1"/>
  <c r="P551" i="1"/>
  <c r="A552" i="1"/>
  <c r="B552" i="1"/>
  <c r="D552" i="1"/>
  <c r="E552" i="1"/>
  <c r="F552" i="1"/>
  <c r="G552" i="1"/>
  <c r="H552" i="1"/>
  <c r="I552" i="1"/>
  <c r="J552" i="1"/>
  <c r="K552" i="1"/>
  <c r="L552" i="1"/>
  <c r="M552" i="1"/>
  <c r="O552" i="1"/>
  <c r="P552" i="1"/>
  <c r="A553" i="1"/>
  <c r="B553" i="1"/>
  <c r="D553" i="1"/>
  <c r="E553" i="1"/>
  <c r="F553" i="1"/>
  <c r="G553" i="1"/>
  <c r="H553" i="1"/>
  <c r="I553" i="1"/>
  <c r="J553" i="1"/>
  <c r="K553" i="1"/>
  <c r="L553" i="1"/>
  <c r="M553" i="1"/>
  <c r="O553" i="1"/>
  <c r="P553" i="1"/>
  <c r="A554" i="1"/>
  <c r="B554" i="1"/>
  <c r="D554" i="1"/>
  <c r="E554" i="1"/>
  <c r="F554" i="1"/>
  <c r="G554" i="1"/>
  <c r="H554" i="1"/>
  <c r="I554" i="1"/>
  <c r="J554" i="1"/>
  <c r="K554" i="1"/>
  <c r="L554" i="1"/>
  <c r="M554" i="1"/>
  <c r="O554" i="1"/>
  <c r="P554" i="1"/>
  <c r="A555" i="1"/>
  <c r="B555" i="1"/>
  <c r="D555" i="1"/>
  <c r="E555" i="1"/>
  <c r="F555" i="1"/>
  <c r="G555" i="1"/>
  <c r="H555" i="1"/>
  <c r="I555" i="1"/>
  <c r="J555" i="1"/>
  <c r="K555" i="1"/>
  <c r="L555" i="1"/>
  <c r="M555" i="1"/>
  <c r="O555" i="1"/>
  <c r="P555" i="1"/>
  <c r="A556" i="1"/>
  <c r="B556" i="1"/>
  <c r="D556" i="1"/>
  <c r="E556" i="1"/>
  <c r="F556" i="1"/>
  <c r="G556" i="1"/>
  <c r="H556" i="1"/>
  <c r="I556" i="1"/>
  <c r="J556" i="1"/>
  <c r="K556" i="1"/>
  <c r="L556" i="1"/>
  <c r="M556" i="1"/>
  <c r="O556" i="1"/>
  <c r="P556" i="1"/>
  <c r="A557" i="1"/>
  <c r="B557" i="1"/>
  <c r="D557" i="1"/>
  <c r="E557" i="1"/>
  <c r="F557" i="1"/>
  <c r="G557" i="1"/>
  <c r="H557" i="1"/>
  <c r="I557" i="1"/>
  <c r="J557" i="1"/>
  <c r="K557" i="1"/>
  <c r="L557" i="1"/>
  <c r="M557" i="1"/>
  <c r="O557" i="1"/>
  <c r="P557" i="1"/>
  <c r="A558" i="1"/>
  <c r="B558" i="1"/>
  <c r="D558" i="1"/>
  <c r="E558" i="1"/>
  <c r="F558" i="1"/>
  <c r="G558" i="1"/>
  <c r="H558" i="1"/>
  <c r="I558" i="1"/>
  <c r="J558" i="1"/>
  <c r="K558" i="1"/>
  <c r="L558" i="1"/>
  <c r="M558" i="1"/>
  <c r="O558" i="1"/>
  <c r="P558" i="1"/>
  <c r="A559" i="1"/>
  <c r="B559" i="1"/>
  <c r="D559" i="1"/>
  <c r="E559" i="1"/>
  <c r="F559" i="1"/>
  <c r="G559" i="1"/>
  <c r="H559" i="1"/>
  <c r="I559" i="1"/>
  <c r="J559" i="1"/>
  <c r="K559" i="1"/>
  <c r="L559" i="1"/>
  <c r="M559" i="1"/>
  <c r="O559" i="1"/>
  <c r="P559" i="1"/>
  <c r="A560" i="1"/>
  <c r="B560" i="1"/>
  <c r="D560" i="1"/>
  <c r="E560" i="1"/>
  <c r="F560" i="1"/>
  <c r="G560" i="1"/>
  <c r="H560" i="1"/>
  <c r="I560" i="1"/>
  <c r="J560" i="1"/>
  <c r="K560" i="1"/>
  <c r="L560" i="1"/>
  <c r="M560" i="1"/>
  <c r="O560" i="1"/>
  <c r="P560" i="1"/>
  <c r="A561" i="1"/>
  <c r="B561" i="1"/>
  <c r="D561" i="1"/>
  <c r="E561" i="1"/>
  <c r="F561" i="1"/>
  <c r="G561" i="1"/>
  <c r="H561" i="1"/>
  <c r="I561" i="1"/>
  <c r="J561" i="1"/>
  <c r="K561" i="1"/>
  <c r="L561" i="1"/>
  <c r="M561" i="1"/>
  <c r="O561" i="1"/>
  <c r="P561" i="1"/>
  <c r="A562" i="1"/>
  <c r="B562" i="1"/>
  <c r="D562" i="1"/>
  <c r="E562" i="1"/>
  <c r="F562" i="1"/>
  <c r="G562" i="1"/>
  <c r="H562" i="1"/>
  <c r="I562" i="1"/>
  <c r="J562" i="1"/>
  <c r="K562" i="1"/>
  <c r="L562" i="1"/>
  <c r="M562" i="1"/>
  <c r="O562" i="1"/>
  <c r="P562" i="1"/>
  <c r="A563" i="1"/>
  <c r="B563" i="1"/>
  <c r="D563" i="1"/>
  <c r="E563" i="1"/>
  <c r="F563" i="1"/>
  <c r="G563" i="1"/>
  <c r="H563" i="1"/>
  <c r="I563" i="1"/>
  <c r="J563" i="1"/>
  <c r="K563" i="1"/>
  <c r="L563" i="1"/>
  <c r="M563" i="1"/>
  <c r="O563" i="1"/>
  <c r="P563" i="1"/>
  <c r="A564" i="1"/>
  <c r="B564" i="1"/>
  <c r="D564" i="1"/>
  <c r="E564" i="1"/>
  <c r="F564" i="1"/>
  <c r="G564" i="1"/>
  <c r="H564" i="1"/>
  <c r="I564" i="1"/>
  <c r="J564" i="1"/>
  <c r="K564" i="1"/>
  <c r="L564" i="1"/>
  <c r="M564" i="1"/>
  <c r="O564" i="1"/>
  <c r="P564" i="1"/>
  <c r="A565" i="1"/>
  <c r="B565" i="1"/>
  <c r="D565" i="1"/>
  <c r="E565" i="1"/>
  <c r="F565" i="1"/>
  <c r="G565" i="1"/>
  <c r="H565" i="1"/>
  <c r="I565" i="1"/>
  <c r="J565" i="1"/>
  <c r="K565" i="1"/>
  <c r="L565" i="1"/>
  <c r="M565" i="1"/>
  <c r="O565" i="1"/>
  <c r="P565" i="1"/>
  <c r="A566" i="1"/>
  <c r="B566" i="1"/>
  <c r="D566" i="1"/>
  <c r="E566" i="1"/>
  <c r="F566" i="1"/>
  <c r="G566" i="1"/>
  <c r="H566" i="1"/>
  <c r="I566" i="1"/>
  <c r="J566" i="1"/>
  <c r="K566" i="1"/>
  <c r="L566" i="1"/>
  <c r="M566" i="1"/>
  <c r="O566" i="1"/>
  <c r="P566" i="1"/>
  <c r="A567" i="1"/>
  <c r="B567" i="1"/>
  <c r="D567" i="1"/>
  <c r="E567" i="1"/>
  <c r="F567" i="1"/>
  <c r="G567" i="1"/>
  <c r="H567" i="1"/>
  <c r="I567" i="1"/>
  <c r="J567" i="1"/>
  <c r="K567" i="1"/>
  <c r="L567" i="1"/>
  <c r="M567" i="1"/>
  <c r="O567" i="1"/>
  <c r="P567" i="1"/>
  <c r="A568" i="1"/>
  <c r="B568" i="1"/>
  <c r="D568" i="1"/>
  <c r="E568" i="1"/>
  <c r="F568" i="1"/>
  <c r="G568" i="1"/>
  <c r="H568" i="1"/>
  <c r="I568" i="1"/>
  <c r="J568" i="1"/>
  <c r="K568" i="1"/>
  <c r="L568" i="1"/>
  <c r="M568" i="1"/>
  <c r="O568" i="1"/>
  <c r="P568" i="1"/>
  <c r="A569" i="1"/>
  <c r="B569" i="1"/>
  <c r="D569" i="1"/>
  <c r="E569" i="1"/>
  <c r="F569" i="1"/>
  <c r="G569" i="1"/>
  <c r="H569" i="1"/>
  <c r="I569" i="1"/>
  <c r="J569" i="1"/>
  <c r="K569" i="1"/>
  <c r="L569" i="1"/>
  <c r="M569" i="1"/>
  <c r="O569" i="1"/>
  <c r="P569" i="1"/>
  <c r="A570" i="1"/>
  <c r="B570" i="1"/>
  <c r="D570" i="1"/>
  <c r="E570" i="1"/>
  <c r="F570" i="1"/>
  <c r="G570" i="1"/>
  <c r="H570" i="1"/>
  <c r="I570" i="1"/>
  <c r="J570" i="1"/>
  <c r="K570" i="1"/>
  <c r="L570" i="1"/>
  <c r="M570" i="1"/>
  <c r="O570" i="1"/>
  <c r="P570" i="1"/>
  <c r="A571" i="1"/>
  <c r="B571" i="1"/>
  <c r="D571" i="1"/>
  <c r="E571" i="1"/>
  <c r="F571" i="1"/>
  <c r="G571" i="1"/>
  <c r="H571" i="1"/>
  <c r="I571" i="1"/>
  <c r="J571" i="1"/>
  <c r="K571" i="1"/>
  <c r="L571" i="1"/>
  <c r="M571" i="1"/>
  <c r="O571" i="1"/>
  <c r="P571" i="1"/>
  <c r="A572" i="1"/>
  <c r="B572" i="1"/>
  <c r="D572" i="1"/>
  <c r="E572" i="1"/>
  <c r="F572" i="1"/>
  <c r="G572" i="1"/>
  <c r="H572" i="1"/>
  <c r="I572" i="1"/>
  <c r="J572" i="1"/>
  <c r="K572" i="1"/>
  <c r="L572" i="1"/>
  <c r="M572" i="1"/>
  <c r="O572" i="1"/>
  <c r="P572" i="1"/>
  <c r="A573" i="1"/>
  <c r="B573" i="1"/>
  <c r="D573" i="1"/>
  <c r="E573" i="1"/>
  <c r="F573" i="1"/>
  <c r="G573" i="1"/>
  <c r="H573" i="1"/>
  <c r="I573" i="1"/>
  <c r="J573" i="1"/>
  <c r="K573" i="1"/>
  <c r="L573" i="1"/>
  <c r="M573" i="1"/>
  <c r="O573" i="1"/>
  <c r="P573" i="1"/>
  <c r="A574" i="1"/>
  <c r="B574" i="1"/>
  <c r="D574" i="1"/>
  <c r="E574" i="1"/>
  <c r="F574" i="1"/>
  <c r="G574" i="1"/>
  <c r="H574" i="1"/>
  <c r="I574" i="1"/>
  <c r="J574" i="1"/>
  <c r="K574" i="1"/>
  <c r="L574" i="1"/>
  <c r="M574" i="1"/>
  <c r="O574" i="1"/>
  <c r="P574" i="1"/>
  <c r="A575" i="1"/>
  <c r="B575" i="1"/>
  <c r="D575" i="1"/>
  <c r="E575" i="1"/>
  <c r="F575" i="1"/>
  <c r="G575" i="1"/>
  <c r="H575" i="1"/>
  <c r="I575" i="1"/>
  <c r="J575" i="1"/>
  <c r="K575" i="1"/>
  <c r="L575" i="1"/>
  <c r="M575" i="1"/>
  <c r="O575" i="1"/>
  <c r="P575" i="1"/>
  <c r="A576" i="1"/>
  <c r="B576" i="1"/>
  <c r="D576" i="1"/>
  <c r="E576" i="1"/>
  <c r="F576" i="1"/>
  <c r="G576" i="1"/>
  <c r="H576" i="1"/>
  <c r="I576" i="1"/>
  <c r="J576" i="1"/>
  <c r="K576" i="1"/>
  <c r="L576" i="1"/>
  <c r="M576" i="1"/>
  <c r="O576" i="1"/>
  <c r="P576" i="1"/>
  <c r="A577" i="1"/>
  <c r="B577" i="1"/>
  <c r="D577" i="1"/>
  <c r="E577" i="1"/>
  <c r="F577" i="1"/>
  <c r="G577" i="1"/>
  <c r="H577" i="1"/>
  <c r="I577" i="1"/>
  <c r="J577" i="1"/>
  <c r="K577" i="1"/>
  <c r="L577" i="1"/>
  <c r="M577" i="1"/>
  <c r="O577" i="1"/>
  <c r="P577" i="1"/>
  <c r="A578" i="1"/>
  <c r="B578" i="1"/>
  <c r="D578" i="1"/>
  <c r="E578" i="1"/>
  <c r="F578" i="1"/>
  <c r="G578" i="1"/>
  <c r="H578" i="1"/>
  <c r="I578" i="1"/>
  <c r="J578" i="1"/>
  <c r="K578" i="1"/>
  <c r="L578" i="1"/>
  <c r="M578" i="1"/>
  <c r="O578" i="1"/>
  <c r="P578" i="1"/>
  <c r="A579" i="1"/>
  <c r="B579" i="1"/>
  <c r="D579" i="1"/>
  <c r="E579" i="1"/>
  <c r="F579" i="1"/>
  <c r="G579" i="1"/>
  <c r="H579" i="1"/>
  <c r="I579" i="1"/>
  <c r="J579" i="1"/>
  <c r="K579" i="1"/>
  <c r="L579" i="1"/>
  <c r="M579" i="1"/>
  <c r="O579" i="1"/>
  <c r="P579" i="1"/>
  <c r="A580" i="1"/>
  <c r="B580" i="1"/>
  <c r="D580" i="1"/>
  <c r="E580" i="1"/>
  <c r="F580" i="1"/>
  <c r="G580" i="1"/>
  <c r="H580" i="1"/>
  <c r="I580" i="1"/>
  <c r="J580" i="1"/>
  <c r="K580" i="1"/>
  <c r="L580" i="1"/>
  <c r="M580" i="1"/>
  <c r="O580" i="1"/>
  <c r="P580" i="1"/>
  <c r="A581" i="1"/>
  <c r="B581" i="1"/>
  <c r="D581" i="1"/>
  <c r="E581" i="1"/>
  <c r="F581" i="1"/>
  <c r="G581" i="1"/>
  <c r="H581" i="1"/>
  <c r="I581" i="1"/>
  <c r="J581" i="1"/>
  <c r="K581" i="1"/>
  <c r="L581" i="1"/>
  <c r="M581" i="1"/>
  <c r="O581" i="1"/>
  <c r="P581" i="1"/>
  <c r="A582" i="1"/>
  <c r="B582" i="1"/>
  <c r="D582" i="1"/>
  <c r="E582" i="1"/>
  <c r="F582" i="1"/>
  <c r="G582" i="1"/>
  <c r="H582" i="1"/>
  <c r="I582" i="1"/>
  <c r="J582" i="1"/>
  <c r="K582" i="1"/>
  <c r="L582" i="1"/>
  <c r="M582" i="1"/>
  <c r="O582" i="1"/>
  <c r="P582" i="1"/>
  <c r="A583" i="1"/>
  <c r="B583" i="1"/>
  <c r="D583" i="1"/>
  <c r="E583" i="1"/>
  <c r="F583" i="1"/>
  <c r="G583" i="1"/>
  <c r="H583" i="1"/>
  <c r="I583" i="1"/>
  <c r="J583" i="1"/>
  <c r="K583" i="1"/>
  <c r="L583" i="1"/>
  <c r="M583" i="1"/>
  <c r="O583" i="1"/>
  <c r="P583" i="1"/>
  <c r="A584" i="1"/>
  <c r="B584" i="1"/>
  <c r="D584" i="1"/>
  <c r="E584" i="1"/>
  <c r="F584" i="1"/>
  <c r="G584" i="1"/>
  <c r="H584" i="1"/>
  <c r="I584" i="1"/>
  <c r="J584" i="1"/>
  <c r="K584" i="1"/>
  <c r="L584" i="1"/>
  <c r="M584" i="1"/>
  <c r="O584" i="1"/>
  <c r="P584" i="1"/>
  <c r="A585" i="1"/>
  <c r="B585" i="1"/>
  <c r="D585" i="1"/>
  <c r="E585" i="1"/>
  <c r="F585" i="1"/>
  <c r="G585" i="1"/>
  <c r="H585" i="1"/>
  <c r="I585" i="1"/>
  <c r="J585" i="1"/>
  <c r="K585" i="1"/>
  <c r="L585" i="1"/>
  <c r="M585" i="1"/>
  <c r="O585" i="1"/>
  <c r="P585" i="1"/>
  <c r="A586" i="1"/>
  <c r="B586" i="1"/>
  <c r="D586" i="1"/>
  <c r="E586" i="1"/>
  <c r="F586" i="1"/>
  <c r="G586" i="1"/>
  <c r="H586" i="1"/>
  <c r="I586" i="1"/>
  <c r="J586" i="1"/>
  <c r="K586" i="1"/>
  <c r="L586" i="1"/>
  <c r="M586" i="1"/>
  <c r="O586" i="1"/>
  <c r="P586" i="1"/>
  <c r="A587" i="1"/>
  <c r="B587" i="1"/>
  <c r="D587" i="1"/>
  <c r="E587" i="1"/>
  <c r="F587" i="1"/>
  <c r="G587" i="1"/>
  <c r="H587" i="1"/>
  <c r="I587" i="1"/>
  <c r="J587" i="1"/>
  <c r="K587" i="1"/>
  <c r="L587" i="1"/>
  <c r="M587" i="1"/>
  <c r="O587" i="1"/>
  <c r="P587" i="1"/>
  <c r="A588" i="1"/>
  <c r="B588" i="1"/>
  <c r="D588" i="1"/>
  <c r="E588" i="1"/>
  <c r="F588" i="1"/>
  <c r="G588" i="1"/>
  <c r="H588" i="1"/>
  <c r="I588" i="1"/>
  <c r="J588" i="1"/>
  <c r="K588" i="1"/>
  <c r="L588" i="1"/>
  <c r="M588" i="1"/>
  <c r="O588" i="1"/>
  <c r="P588" i="1"/>
  <c r="A589" i="1"/>
  <c r="B589" i="1"/>
  <c r="D589" i="1"/>
  <c r="E589" i="1"/>
  <c r="F589" i="1"/>
  <c r="G589" i="1"/>
  <c r="H589" i="1"/>
  <c r="I589" i="1"/>
  <c r="J589" i="1"/>
  <c r="K589" i="1"/>
  <c r="L589" i="1"/>
  <c r="M589" i="1"/>
  <c r="O589" i="1"/>
  <c r="P589" i="1"/>
  <c r="A590" i="1"/>
  <c r="B590" i="1"/>
  <c r="D590" i="1"/>
  <c r="E590" i="1"/>
  <c r="F590" i="1"/>
  <c r="G590" i="1"/>
  <c r="H590" i="1"/>
  <c r="I590" i="1"/>
  <c r="J590" i="1"/>
  <c r="K590" i="1"/>
  <c r="L590" i="1"/>
  <c r="M590" i="1"/>
  <c r="O590" i="1"/>
  <c r="P590" i="1"/>
  <c r="A591" i="1"/>
  <c r="B591" i="1"/>
  <c r="D591" i="1"/>
  <c r="E591" i="1"/>
  <c r="F591" i="1"/>
  <c r="G591" i="1"/>
  <c r="H591" i="1"/>
  <c r="I591" i="1"/>
  <c r="J591" i="1"/>
  <c r="K591" i="1"/>
  <c r="L591" i="1"/>
  <c r="M591" i="1"/>
  <c r="O591" i="1"/>
  <c r="P591" i="1"/>
  <c r="A592" i="1"/>
  <c r="B592" i="1"/>
  <c r="D592" i="1"/>
  <c r="E592" i="1"/>
  <c r="F592" i="1"/>
  <c r="G592" i="1"/>
  <c r="H592" i="1"/>
  <c r="I592" i="1"/>
  <c r="J592" i="1"/>
  <c r="K592" i="1"/>
  <c r="L592" i="1"/>
  <c r="M592" i="1"/>
  <c r="O592" i="1"/>
  <c r="P592" i="1"/>
  <c r="A593" i="1"/>
  <c r="B593" i="1"/>
  <c r="D593" i="1"/>
  <c r="E593" i="1"/>
  <c r="F593" i="1"/>
  <c r="G593" i="1"/>
  <c r="H593" i="1"/>
  <c r="I593" i="1"/>
  <c r="J593" i="1"/>
  <c r="K593" i="1"/>
  <c r="L593" i="1"/>
  <c r="M593" i="1"/>
  <c r="O593" i="1"/>
  <c r="P593" i="1"/>
  <c r="A594" i="1"/>
  <c r="B594" i="1"/>
  <c r="D594" i="1"/>
  <c r="E594" i="1"/>
  <c r="F594" i="1"/>
  <c r="G594" i="1"/>
  <c r="H594" i="1"/>
  <c r="I594" i="1"/>
  <c r="J594" i="1"/>
  <c r="K594" i="1"/>
  <c r="L594" i="1"/>
  <c r="M594" i="1"/>
  <c r="O594" i="1"/>
  <c r="P594" i="1"/>
  <c r="A595" i="1"/>
  <c r="B595" i="1"/>
  <c r="D595" i="1"/>
  <c r="E595" i="1"/>
  <c r="F595" i="1"/>
  <c r="G595" i="1"/>
  <c r="H595" i="1"/>
  <c r="I595" i="1"/>
  <c r="J595" i="1"/>
  <c r="K595" i="1"/>
  <c r="L595" i="1"/>
  <c r="M595" i="1"/>
  <c r="O595" i="1"/>
  <c r="P595" i="1"/>
  <c r="A596" i="1"/>
  <c r="B596" i="1"/>
  <c r="D596" i="1"/>
  <c r="E596" i="1"/>
  <c r="F596" i="1"/>
  <c r="G596" i="1"/>
  <c r="H596" i="1"/>
  <c r="I596" i="1"/>
  <c r="J596" i="1"/>
  <c r="K596" i="1"/>
  <c r="L596" i="1"/>
  <c r="M596" i="1"/>
  <c r="O596" i="1"/>
  <c r="P596" i="1"/>
  <c r="A597" i="1"/>
  <c r="B597" i="1"/>
  <c r="D597" i="1"/>
  <c r="E597" i="1"/>
  <c r="F597" i="1"/>
  <c r="G597" i="1"/>
  <c r="H597" i="1"/>
  <c r="I597" i="1"/>
  <c r="J597" i="1"/>
  <c r="K597" i="1"/>
  <c r="L597" i="1"/>
  <c r="M597" i="1"/>
  <c r="O597" i="1"/>
  <c r="P597" i="1"/>
  <c r="A598" i="1"/>
  <c r="B598" i="1"/>
  <c r="D598" i="1"/>
  <c r="E598" i="1"/>
  <c r="F598" i="1"/>
  <c r="G598" i="1"/>
  <c r="H598" i="1"/>
  <c r="I598" i="1"/>
  <c r="J598" i="1"/>
  <c r="K598" i="1"/>
  <c r="L598" i="1"/>
  <c r="M598" i="1"/>
  <c r="O598" i="1"/>
  <c r="P598" i="1"/>
  <c r="A599" i="1"/>
  <c r="B599" i="1"/>
  <c r="D599" i="1"/>
  <c r="E599" i="1"/>
  <c r="F599" i="1"/>
  <c r="G599" i="1"/>
  <c r="H599" i="1"/>
  <c r="I599" i="1"/>
  <c r="J599" i="1"/>
  <c r="K599" i="1"/>
  <c r="L599" i="1"/>
  <c r="M599" i="1"/>
  <c r="O599" i="1"/>
  <c r="P599" i="1"/>
  <c r="A600" i="1"/>
  <c r="B600" i="1"/>
  <c r="D600" i="1"/>
  <c r="E600" i="1"/>
  <c r="F600" i="1"/>
  <c r="G600" i="1"/>
  <c r="H600" i="1"/>
  <c r="I600" i="1"/>
  <c r="J600" i="1"/>
  <c r="K600" i="1"/>
  <c r="L600" i="1"/>
  <c r="M600" i="1"/>
  <c r="O600" i="1"/>
  <c r="P600" i="1"/>
  <c r="A601" i="1"/>
  <c r="B601" i="1"/>
  <c r="D601" i="1"/>
  <c r="E601" i="1"/>
  <c r="F601" i="1"/>
  <c r="G601" i="1"/>
  <c r="H601" i="1"/>
  <c r="I601" i="1"/>
  <c r="J601" i="1"/>
  <c r="K601" i="1"/>
  <c r="L601" i="1"/>
  <c r="M601" i="1"/>
  <c r="O601" i="1"/>
  <c r="P601" i="1"/>
  <c r="A602" i="1"/>
  <c r="B602" i="1"/>
  <c r="D602" i="1"/>
  <c r="E602" i="1"/>
  <c r="F602" i="1"/>
  <c r="G602" i="1"/>
  <c r="H602" i="1"/>
  <c r="I602" i="1"/>
  <c r="J602" i="1"/>
  <c r="K602" i="1"/>
  <c r="L602" i="1"/>
  <c r="M602" i="1"/>
  <c r="O602" i="1"/>
  <c r="P602" i="1"/>
  <c r="A603" i="1"/>
  <c r="B603" i="1"/>
  <c r="D603" i="1"/>
  <c r="E603" i="1"/>
  <c r="F603" i="1"/>
  <c r="G603" i="1"/>
  <c r="H603" i="1"/>
  <c r="I603" i="1"/>
  <c r="J603" i="1"/>
  <c r="K603" i="1"/>
  <c r="L603" i="1"/>
  <c r="M603" i="1"/>
  <c r="O603" i="1"/>
  <c r="P603" i="1"/>
  <c r="A604" i="1"/>
  <c r="B604" i="1"/>
  <c r="D604" i="1"/>
  <c r="E604" i="1"/>
  <c r="F604" i="1"/>
  <c r="G604" i="1"/>
  <c r="H604" i="1"/>
  <c r="I604" i="1"/>
  <c r="J604" i="1"/>
  <c r="K604" i="1"/>
  <c r="L604" i="1"/>
  <c r="M604" i="1"/>
  <c r="O604" i="1"/>
  <c r="P604" i="1"/>
  <c r="A605" i="1"/>
  <c r="B605" i="1"/>
  <c r="D605" i="1"/>
  <c r="E605" i="1"/>
  <c r="F605" i="1"/>
  <c r="G605" i="1"/>
  <c r="H605" i="1"/>
  <c r="I605" i="1"/>
  <c r="J605" i="1"/>
  <c r="K605" i="1"/>
  <c r="L605" i="1"/>
  <c r="M605" i="1"/>
  <c r="O605" i="1"/>
  <c r="P605" i="1"/>
  <c r="A606" i="1"/>
  <c r="B606" i="1"/>
  <c r="D606" i="1"/>
  <c r="E606" i="1"/>
  <c r="F606" i="1"/>
  <c r="G606" i="1"/>
  <c r="H606" i="1"/>
  <c r="I606" i="1"/>
  <c r="J606" i="1"/>
  <c r="K606" i="1"/>
  <c r="L606" i="1"/>
  <c r="M606" i="1"/>
  <c r="O606" i="1"/>
  <c r="P606" i="1"/>
  <c r="A607" i="1"/>
  <c r="B607" i="1"/>
  <c r="D607" i="1"/>
  <c r="E607" i="1"/>
  <c r="F607" i="1"/>
  <c r="G607" i="1"/>
  <c r="H607" i="1"/>
  <c r="I607" i="1"/>
  <c r="J607" i="1"/>
  <c r="K607" i="1"/>
  <c r="L607" i="1"/>
  <c r="M607" i="1"/>
  <c r="O607" i="1"/>
  <c r="P607" i="1"/>
  <c r="A608" i="1"/>
  <c r="B608" i="1"/>
  <c r="D608" i="1"/>
  <c r="E608" i="1"/>
  <c r="F608" i="1"/>
  <c r="G608" i="1"/>
  <c r="H608" i="1"/>
  <c r="I608" i="1"/>
  <c r="J608" i="1"/>
  <c r="K608" i="1"/>
  <c r="L608" i="1"/>
  <c r="M608" i="1"/>
  <c r="O608" i="1"/>
  <c r="P608" i="1"/>
  <c r="A609" i="1"/>
  <c r="B609" i="1"/>
  <c r="D609" i="1"/>
  <c r="E609" i="1"/>
  <c r="F609" i="1"/>
  <c r="G609" i="1"/>
  <c r="H609" i="1"/>
  <c r="I609" i="1"/>
  <c r="J609" i="1"/>
  <c r="K609" i="1"/>
  <c r="L609" i="1"/>
  <c r="M609" i="1"/>
  <c r="O609" i="1"/>
  <c r="P609" i="1"/>
  <c r="A610" i="1"/>
  <c r="B610" i="1"/>
  <c r="D610" i="1"/>
  <c r="E610" i="1"/>
  <c r="F610" i="1"/>
  <c r="G610" i="1"/>
  <c r="H610" i="1"/>
  <c r="I610" i="1"/>
  <c r="J610" i="1"/>
  <c r="K610" i="1"/>
  <c r="L610" i="1"/>
  <c r="M610" i="1"/>
  <c r="O610" i="1"/>
  <c r="P610" i="1"/>
  <c r="A611" i="1"/>
  <c r="B611" i="1"/>
  <c r="D611" i="1"/>
  <c r="E611" i="1"/>
  <c r="F611" i="1"/>
  <c r="G611" i="1"/>
  <c r="H611" i="1"/>
  <c r="I611" i="1"/>
  <c r="J611" i="1"/>
  <c r="K611" i="1"/>
  <c r="L611" i="1"/>
  <c r="M611" i="1"/>
  <c r="O611" i="1"/>
  <c r="P611" i="1"/>
  <c r="A612" i="1"/>
  <c r="B612" i="1"/>
  <c r="D612" i="1"/>
  <c r="E612" i="1"/>
  <c r="F612" i="1"/>
  <c r="G612" i="1"/>
  <c r="H612" i="1"/>
  <c r="I612" i="1"/>
  <c r="J612" i="1"/>
  <c r="K612" i="1"/>
  <c r="L612" i="1"/>
  <c r="M612" i="1"/>
  <c r="O612" i="1"/>
  <c r="P612" i="1"/>
  <c r="A613" i="1"/>
  <c r="B613" i="1"/>
  <c r="D613" i="1"/>
  <c r="E613" i="1"/>
  <c r="F613" i="1"/>
  <c r="G613" i="1"/>
  <c r="H613" i="1"/>
  <c r="I613" i="1"/>
  <c r="J613" i="1"/>
  <c r="K613" i="1"/>
  <c r="L613" i="1"/>
  <c r="M613" i="1"/>
  <c r="O613" i="1"/>
  <c r="P613" i="1"/>
  <c r="A614" i="1"/>
  <c r="B614" i="1"/>
  <c r="D614" i="1"/>
  <c r="E614" i="1"/>
  <c r="F614" i="1"/>
  <c r="G614" i="1"/>
  <c r="H614" i="1"/>
  <c r="I614" i="1"/>
  <c r="J614" i="1"/>
  <c r="K614" i="1"/>
  <c r="L614" i="1"/>
  <c r="M614" i="1"/>
  <c r="O614" i="1"/>
  <c r="P614" i="1"/>
  <c r="A615" i="1"/>
  <c r="B615" i="1"/>
  <c r="D615" i="1"/>
  <c r="E615" i="1"/>
  <c r="F615" i="1"/>
  <c r="G615" i="1"/>
  <c r="H615" i="1"/>
  <c r="I615" i="1"/>
  <c r="J615" i="1"/>
  <c r="K615" i="1"/>
  <c r="L615" i="1"/>
  <c r="M615" i="1"/>
  <c r="O615" i="1"/>
  <c r="P615" i="1"/>
  <c r="A616" i="1"/>
  <c r="B616" i="1"/>
  <c r="D616" i="1"/>
  <c r="E616" i="1"/>
  <c r="F616" i="1"/>
  <c r="G616" i="1"/>
  <c r="H616" i="1"/>
  <c r="I616" i="1"/>
  <c r="J616" i="1"/>
  <c r="K616" i="1"/>
  <c r="L616" i="1"/>
  <c r="M616" i="1"/>
  <c r="O616" i="1"/>
  <c r="P616" i="1"/>
  <c r="A617" i="1"/>
  <c r="B617" i="1"/>
  <c r="D617" i="1"/>
  <c r="E617" i="1"/>
  <c r="F617" i="1"/>
  <c r="G617" i="1"/>
  <c r="H617" i="1"/>
  <c r="I617" i="1"/>
  <c r="J617" i="1"/>
  <c r="K617" i="1"/>
  <c r="L617" i="1"/>
  <c r="M617" i="1"/>
  <c r="O617" i="1"/>
  <c r="P617" i="1"/>
  <c r="A618" i="1"/>
  <c r="B618" i="1"/>
  <c r="D618" i="1"/>
  <c r="E618" i="1"/>
  <c r="F618" i="1"/>
  <c r="G618" i="1"/>
  <c r="H618" i="1"/>
  <c r="I618" i="1"/>
  <c r="J618" i="1"/>
  <c r="K618" i="1"/>
  <c r="L618" i="1"/>
  <c r="M618" i="1"/>
  <c r="O618" i="1"/>
  <c r="P618" i="1"/>
  <c r="A619" i="1"/>
  <c r="B619" i="1"/>
  <c r="D619" i="1"/>
  <c r="E619" i="1"/>
  <c r="F619" i="1"/>
  <c r="G619" i="1"/>
  <c r="H619" i="1"/>
  <c r="I619" i="1"/>
  <c r="J619" i="1"/>
  <c r="K619" i="1"/>
  <c r="L619" i="1"/>
  <c r="M619" i="1"/>
  <c r="O619" i="1"/>
  <c r="P619" i="1"/>
  <c r="A620" i="1"/>
  <c r="B620" i="1"/>
  <c r="D620" i="1"/>
  <c r="E620" i="1"/>
  <c r="F620" i="1"/>
  <c r="G620" i="1"/>
  <c r="H620" i="1"/>
  <c r="I620" i="1"/>
  <c r="J620" i="1"/>
  <c r="K620" i="1"/>
  <c r="L620" i="1"/>
  <c r="M620" i="1"/>
  <c r="O620" i="1"/>
  <c r="P620" i="1"/>
  <c r="A621" i="1"/>
  <c r="B621" i="1"/>
  <c r="D621" i="1"/>
  <c r="E621" i="1"/>
  <c r="F621" i="1"/>
  <c r="G621" i="1"/>
  <c r="H621" i="1"/>
  <c r="I621" i="1"/>
  <c r="J621" i="1"/>
  <c r="K621" i="1"/>
  <c r="L621" i="1"/>
  <c r="M621" i="1"/>
  <c r="O621" i="1"/>
  <c r="P621" i="1"/>
  <c r="A622" i="1"/>
  <c r="B622" i="1"/>
  <c r="D622" i="1"/>
  <c r="E622" i="1"/>
  <c r="F622" i="1"/>
  <c r="G622" i="1"/>
  <c r="H622" i="1"/>
  <c r="I622" i="1"/>
  <c r="J622" i="1"/>
  <c r="K622" i="1"/>
  <c r="L622" i="1"/>
  <c r="M622" i="1"/>
  <c r="O622" i="1"/>
  <c r="P622" i="1"/>
  <c r="A623" i="1"/>
  <c r="B623" i="1"/>
  <c r="D623" i="1"/>
  <c r="E623" i="1"/>
  <c r="F623" i="1"/>
  <c r="G623" i="1"/>
  <c r="H623" i="1"/>
  <c r="I623" i="1"/>
  <c r="J623" i="1"/>
  <c r="K623" i="1"/>
  <c r="L623" i="1"/>
  <c r="M623" i="1"/>
  <c r="O623" i="1"/>
  <c r="P623" i="1"/>
  <c r="A624" i="1"/>
  <c r="B624" i="1"/>
  <c r="D624" i="1"/>
  <c r="E624" i="1"/>
  <c r="F624" i="1"/>
  <c r="G624" i="1"/>
  <c r="H624" i="1"/>
  <c r="I624" i="1"/>
  <c r="J624" i="1"/>
  <c r="K624" i="1"/>
  <c r="L624" i="1"/>
  <c r="M624" i="1"/>
  <c r="O624" i="1"/>
  <c r="P624" i="1"/>
  <c r="A625" i="1"/>
  <c r="B625" i="1"/>
  <c r="D625" i="1"/>
  <c r="E625" i="1"/>
  <c r="F625" i="1"/>
  <c r="G625" i="1"/>
  <c r="H625" i="1"/>
  <c r="I625" i="1"/>
  <c r="J625" i="1"/>
  <c r="K625" i="1"/>
  <c r="L625" i="1"/>
  <c r="M625" i="1"/>
  <c r="O625" i="1"/>
  <c r="P625" i="1"/>
  <c r="A626" i="1"/>
  <c r="B626" i="1"/>
  <c r="D626" i="1"/>
  <c r="E626" i="1"/>
  <c r="F626" i="1"/>
  <c r="G626" i="1"/>
  <c r="H626" i="1"/>
  <c r="I626" i="1"/>
  <c r="J626" i="1"/>
  <c r="K626" i="1"/>
  <c r="L626" i="1"/>
  <c r="M626" i="1"/>
  <c r="O626" i="1"/>
  <c r="P626" i="1"/>
  <c r="A627" i="1"/>
  <c r="B627" i="1"/>
  <c r="D627" i="1"/>
  <c r="E627" i="1"/>
  <c r="F627" i="1"/>
  <c r="G627" i="1"/>
  <c r="H627" i="1"/>
  <c r="I627" i="1"/>
  <c r="J627" i="1"/>
  <c r="K627" i="1"/>
  <c r="L627" i="1"/>
  <c r="M627" i="1"/>
  <c r="O627" i="1"/>
  <c r="P627" i="1"/>
  <c r="A628" i="1"/>
  <c r="B628" i="1"/>
  <c r="D628" i="1"/>
  <c r="E628" i="1"/>
  <c r="F628" i="1"/>
  <c r="G628" i="1"/>
  <c r="H628" i="1"/>
  <c r="I628" i="1"/>
  <c r="J628" i="1"/>
  <c r="K628" i="1"/>
  <c r="L628" i="1"/>
  <c r="M628" i="1"/>
  <c r="O628" i="1"/>
  <c r="P628" i="1"/>
  <c r="A629" i="1"/>
  <c r="B629" i="1"/>
  <c r="D629" i="1"/>
  <c r="E629" i="1"/>
  <c r="F629" i="1"/>
  <c r="G629" i="1"/>
  <c r="H629" i="1"/>
  <c r="I629" i="1"/>
  <c r="J629" i="1"/>
  <c r="K629" i="1"/>
  <c r="L629" i="1"/>
  <c r="M629" i="1"/>
  <c r="O629" i="1"/>
  <c r="P629" i="1"/>
  <c r="A630" i="1"/>
  <c r="B630" i="1"/>
  <c r="D630" i="1"/>
  <c r="E630" i="1"/>
  <c r="F630" i="1"/>
  <c r="G630" i="1"/>
  <c r="H630" i="1"/>
  <c r="I630" i="1"/>
  <c r="J630" i="1"/>
  <c r="K630" i="1"/>
  <c r="L630" i="1"/>
  <c r="M630" i="1"/>
  <c r="O630" i="1"/>
  <c r="P630" i="1"/>
  <c r="A631" i="1"/>
  <c r="B631" i="1"/>
  <c r="D631" i="1"/>
  <c r="E631" i="1"/>
  <c r="F631" i="1"/>
  <c r="G631" i="1"/>
  <c r="H631" i="1"/>
  <c r="I631" i="1"/>
  <c r="J631" i="1"/>
  <c r="K631" i="1"/>
  <c r="L631" i="1"/>
  <c r="M631" i="1"/>
  <c r="O631" i="1"/>
  <c r="P631" i="1"/>
  <c r="A632" i="1"/>
  <c r="B632" i="1"/>
  <c r="D632" i="1"/>
  <c r="E632" i="1"/>
  <c r="F632" i="1"/>
  <c r="G632" i="1"/>
  <c r="H632" i="1"/>
  <c r="I632" i="1"/>
  <c r="J632" i="1"/>
  <c r="K632" i="1"/>
  <c r="L632" i="1"/>
  <c r="M632" i="1"/>
  <c r="O632" i="1"/>
  <c r="P632" i="1"/>
  <c r="A633" i="1"/>
  <c r="B633" i="1"/>
  <c r="D633" i="1"/>
  <c r="E633" i="1"/>
  <c r="F633" i="1"/>
  <c r="G633" i="1"/>
  <c r="H633" i="1"/>
  <c r="I633" i="1"/>
  <c r="J633" i="1"/>
  <c r="K633" i="1"/>
  <c r="L633" i="1"/>
  <c r="M633" i="1"/>
  <c r="O633" i="1"/>
  <c r="P633" i="1"/>
  <c r="A634" i="1"/>
  <c r="B634" i="1"/>
  <c r="D634" i="1"/>
  <c r="E634" i="1"/>
  <c r="F634" i="1"/>
  <c r="G634" i="1"/>
  <c r="H634" i="1"/>
  <c r="I634" i="1"/>
  <c r="J634" i="1"/>
  <c r="K634" i="1"/>
  <c r="L634" i="1"/>
  <c r="M634" i="1"/>
  <c r="O634" i="1"/>
  <c r="P634" i="1"/>
  <c r="A635" i="1"/>
  <c r="B635" i="1"/>
  <c r="D635" i="1"/>
  <c r="E635" i="1"/>
  <c r="F635" i="1"/>
  <c r="G635" i="1"/>
  <c r="H635" i="1"/>
  <c r="I635" i="1"/>
  <c r="J635" i="1"/>
  <c r="K635" i="1"/>
  <c r="L635" i="1"/>
  <c r="M635" i="1"/>
  <c r="O635" i="1"/>
  <c r="P635" i="1"/>
  <c r="A636" i="1"/>
  <c r="B636" i="1"/>
  <c r="D636" i="1"/>
  <c r="E636" i="1"/>
  <c r="F636" i="1"/>
  <c r="G636" i="1"/>
  <c r="H636" i="1"/>
  <c r="I636" i="1"/>
  <c r="J636" i="1"/>
  <c r="K636" i="1"/>
  <c r="L636" i="1"/>
  <c r="M636" i="1"/>
  <c r="O636" i="1"/>
  <c r="P636" i="1"/>
  <c r="A637" i="1"/>
  <c r="B637" i="1"/>
  <c r="D637" i="1"/>
  <c r="E637" i="1"/>
  <c r="F637" i="1"/>
  <c r="G637" i="1"/>
  <c r="H637" i="1"/>
  <c r="I637" i="1"/>
  <c r="J637" i="1"/>
  <c r="K637" i="1"/>
  <c r="L637" i="1"/>
  <c r="M637" i="1"/>
  <c r="O637" i="1"/>
  <c r="P637" i="1"/>
  <c r="A638" i="1"/>
  <c r="B638" i="1"/>
  <c r="D638" i="1"/>
  <c r="E638" i="1"/>
  <c r="F638" i="1"/>
  <c r="G638" i="1"/>
  <c r="H638" i="1"/>
  <c r="I638" i="1"/>
  <c r="J638" i="1"/>
  <c r="K638" i="1"/>
  <c r="L638" i="1"/>
  <c r="M638" i="1"/>
  <c r="O638" i="1"/>
  <c r="P638" i="1"/>
  <c r="A639" i="1"/>
  <c r="B639" i="1"/>
  <c r="D639" i="1"/>
  <c r="E639" i="1"/>
  <c r="F639" i="1"/>
  <c r="G639" i="1"/>
  <c r="H639" i="1"/>
  <c r="I639" i="1"/>
  <c r="J639" i="1"/>
  <c r="K639" i="1"/>
  <c r="L639" i="1"/>
  <c r="M639" i="1"/>
  <c r="O639" i="1"/>
  <c r="P639" i="1"/>
  <c r="A640" i="1"/>
  <c r="B640" i="1"/>
  <c r="D640" i="1"/>
  <c r="E640" i="1"/>
  <c r="F640" i="1"/>
  <c r="G640" i="1"/>
  <c r="H640" i="1"/>
  <c r="I640" i="1"/>
  <c r="J640" i="1"/>
  <c r="K640" i="1"/>
  <c r="L640" i="1"/>
  <c r="M640" i="1"/>
  <c r="O640" i="1"/>
  <c r="P640" i="1"/>
  <c r="A641" i="1"/>
  <c r="B641" i="1"/>
  <c r="D641" i="1"/>
  <c r="E641" i="1"/>
  <c r="F641" i="1"/>
  <c r="G641" i="1"/>
  <c r="H641" i="1"/>
  <c r="I641" i="1"/>
  <c r="J641" i="1"/>
  <c r="K641" i="1"/>
  <c r="L641" i="1"/>
  <c r="M641" i="1"/>
  <c r="O641" i="1"/>
  <c r="P641" i="1"/>
  <c r="A642" i="1"/>
  <c r="B642" i="1"/>
  <c r="D642" i="1"/>
  <c r="E642" i="1"/>
  <c r="F642" i="1"/>
  <c r="G642" i="1"/>
  <c r="H642" i="1"/>
  <c r="I642" i="1"/>
  <c r="J642" i="1"/>
  <c r="K642" i="1"/>
  <c r="L642" i="1"/>
  <c r="M642" i="1"/>
  <c r="O642" i="1"/>
  <c r="P642" i="1"/>
  <c r="A643" i="1"/>
  <c r="B643" i="1"/>
  <c r="D643" i="1"/>
  <c r="E643" i="1"/>
  <c r="F643" i="1"/>
  <c r="G643" i="1"/>
  <c r="H643" i="1"/>
  <c r="I643" i="1"/>
  <c r="J643" i="1"/>
  <c r="K643" i="1"/>
  <c r="L643" i="1"/>
  <c r="M643" i="1"/>
  <c r="O643" i="1"/>
  <c r="P643" i="1"/>
  <c r="A644" i="1"/>
  <c r="B644" i="1"/>
  <c r="D644" i="1"/>
  <c r="E644" i="1"/>
  <c r="F644" i="1"/>
  <c r="G644" i="1"/>
  <c r="H644" i="1"/>
  <c r="I644" i="1"/>
  <c r="J644" i="1"/>
  <c r="K644" i="1"/>
  <c r="L644" i="1"/>
  <c r="M644" i="1"/>
  <c r="O644" i="1"/>
  <c r="P644" i="1"/>
  <c r="A645" i="1"/>
  <c r="B645" i="1"/>
  <c r="D645" i="1"/>
  <c r="E645" i="1"/>
  <c r="F645" i="1"/>
  <c r="G645" i="1"/>
  <c r="H645" i="1"/>
  <c r="I645" i="1"/>
  <c r="J645" i="1"/>
  <c r="K645" i="1"/>
  <c r="L645" i="1"/>
  <c r="M645" i="1"/>
  <c r="O645" i="1"/>
  <c r="P645" i="1"/>
  <c r="A646" i="1"/>
  <c r="B646" i="1"/>
  <c r="D646" i="1"/>
  <c r="E646" i="1"/>
  <c r="F646" i="1"/>
  <c r="G646" i="1"/>
  <c r="H646" i="1"/>
  <c r="I646" i="1"/>
  <c r="J646" i="1"/>
  <c r="K646" i="1"/>
  <c r="L646" i="1"/>
  <c r="M646" i="1"/>
  <c r="O646" i="1"/>
  <c r="P646" i="1"/>
  <c r="A647" i="1"/>
  <c r="B647" i="1"/>
  <c r="D647" i="1"/>
  <c r="E647" i="1"/>
  <c r="F647" i="1"/>
  <c r="G647" i="1"/>
  <c r="H647" i="1"/>
  <c r="I647" i="1"/>
  <c r="J647" i="1"/>
  <c r="K647" i="1"/>
  <c r="L647" i="1"/>
  <c r="M647" i="1"/>
  <c r="O647" i="1"/>
  <c r="P647" i="1"/>
  <c r="A648" i="1"/>
  <c r="B648" i="1"/>
  <c r="D648" i="1"/>
  <c r="E648" i="1"/>
  <c r="F648" i="1"/>
  <c r="G648" i="1"/>
  <c r="H648" i="1"/>
  <c r="I648" i="1"/>
  <c r="J648" i="1"/>
  <c r="K648" i="1"/>
  <c r="L648" i="1"/>
  <c r="M648" i="1"/>
  <c r="O648" i="1"/>
  <c r="P648" i="1"/>
  <c r="A649" i="1"/>
  <c r="B649" i="1"/>
  <c r="D649" i="1"/>
  <c r="E649" i="1"/>
  <c r="F649" i="1"/>
  <c r="G649" i="1"/>
  <c r="H649" i="1"/>
  <c r="I649" i="1"/>
  <c r="J649" i="1"/>
  <c r="K649" i="1"/>
  <c r="L649" i="1"/>
  <c r="M649" i="1"/>
  <c r="O649" i="1"/>
  <c r="P649" i="1"/>
  <c r="A650" i="1"/>
  <c r="B650" i="1"/>
  <c r="D650" i="1"/>
  <c r="E650" i="1"/>
  <c r="F650" i="1"/>
  <c r="G650" i="1"/>
  <c r="H650" i="1"/>
  <c r="I650" i="1"/>
  <c r="J650" i="1"/>
  <c r="K650" i="1"/>
  <c r="L650" i="1"/>
  <c r="M650" i="1"/>
  <c r="O650" i="1"/>
  <c r="P650" i="1"/>
  <c r="A651" i="1"/>
  <c r="B651" i="1"/>
  <c r="D651" i="1"/>
  <c r="E651" i="1"/>
  <c r="F651" i="1"/>
  <c r="G651" i="1"/>
  <c r="H651" i="1"/>
  <c r="I651" i="1"/>
  <c r="J651" i="1"/>
  <c r="K651" i="1"/>
  <c r="L651" i="1"/>
  <c r="M651" i="1"/>
  <c r="O651" i="1"/>
  <c r="P651" i="1"/>
  <c r="A652" i="1"/>
  <c r="B652" i="1"/>
  <c r="D652" i="1"/>
  <c r="E652" i="1"/>
  <c r="F652" i="1"/>
  <c r="G652" i="1"/>
  <c r="H652" i="1"/>
  <c r="I652" i="1"/>
  <c r="J652" i="1"/>
  <c r="K652" i="1"/>
  <c r="L652" i="1"/>
  <c r="M652" i="1"/>
  <c r="O652" i="1"/>
  <c r="P652" i="1"/>
  <c r="A653" i="1"/>
  <c r="B653" i="1"/>
  <c r="D653" i="1"/>
  <c r="E653" i="1"/>
  <c r="F653" i="1"/>
  <c r="G653" i="1"/>
  <c r="H653" i="1"/>
  <c r="I653" i="1"/>
  <c r="J653" i="1"/>
  <c r="K653" i="1"/>
  <c r="L653" i="1"/>
  <c r="M653" i="1"/>
  <c r="O653" i="1"/>
  <c r="P653" i="1"/>
  <c r="A654" i="1"/>
  <c r="B654" i="1"/>
  <c r="D654" i="1"/>
  <c r="E654" i="1"/>
  <c r="F654" i="1"/>
  <c r="G654" i="1"/>
  <c r="H654" i="1"/>
  <c r="I654" i="1"/>
  <c r="J654" i="1"/>
  <c r="K654" i="1"/>
  <c r="L654" i="1"/>
  <c r="M654" i="1"/>
  <c r="O654" i="1"/>
  <c r="P654" i="1"/>
  <c r="A655" i="1"/>
  <c r="B655" i="1"/>
  <c r="D655" i="1"/>
  <c r="E655" i="1"/>
  <c r="F655" i="1"/>
  <c r="G655" i="1"/>
  <c r="H655" i="1"/>
  <c r="I655" i="1"/>
  <c r="J655" i="1"/>
  <c r="K655" i="1"/>
  <c r="L655" i="1"/>
  <c r="M655" i="1"/>
  <c r="O655" i="1"/>
  <c r="P655" i="1"/>
  <c r="A656" i="1"/>
  <c r="B656" i="1"/>
  <c r="D656" i="1"/>
  <c r="E656" i="1"/>
  <c r="F656" i="1"/>
  <c r="G656" i="1"/>
  <c r="H656" i="1"/>
  <c r="I656" i="1"/>
  <c r="J656" i="1"/>
  <c r="K656" i="1"/>
  <c r="L656" i="1"/>
  <c r="M656" i="1"/>
  <c r="O656" i="1"/>
  <c r="P656" i="1"/>
  <c r="A657" i="1"/>
  <c r="B657" i="1"/>
  <c r="D657" i="1"/>
  <c r="E657" i="1"/>
  <c r="F657" i="1"/>
  <c r="G657" i="1"/>
  <c r="H657" i="1"/>
  <c r="I657" i="1"/>
  <c r="J657" i="1"/>
  <c r="K657" i="1"/>
  <c r="L657" i="1"/>
  <c r="M657" i="1"/>
  <c r="O657" i="1"/>
  <c r="P657" i="1"/>
  <c r="A658" i="1"/>
  <c r="B658" i="1"/>
  <c r="D658" i="1"/>
  <c r="E658" i="1"/>
  <c r="F658" i="1"/>
  <c r="G658" i="1"/>
  <c r="H658" i="1"/>
  <c r="I658" i="1"/>
  <c r="J658" i="1"/>
  <c r="K658" i="1"/>
  <c r="L658" i="1"/>
  <c r="M658" i="1"/>
  <c r="O658" i="1"/>
  <c r="P658" i="1"/>
  <c r="A659" i="1"/>
  <c r="B659" i="1"/>
  <c r="D659" i="1"/>
  <c r="E659" i="1"/>
  <c r="F659" i="1"/>
  <c r="G659" i="1"/>
  <c r="H659" i="1"/>
  <c r="I659" i="1"/>
  <c r="J659" i="1"/>
  <c r="K659" i="1"/>
  <c r="L659" i="1"/>
  <c r="M659" i="1"/>
  <c r="O659" i="1"/>
  <c r="P659" i="1"/>
  <c r="A660" i="1"/>
  <c r="B660" i="1"/>
  <c r="D660" i="1"/>
  <c r="E660" i="1"/>
  <c r="F660" i="1"/>
  <c r="G660" i="1"/>
  <c r="H660" i="1"/>
  <c r="I660" i="1"/>
  <c r="J660" i="1"/>
  <c r="K660" i="1"/>
  <c r="L660" i="1"/>
  <c r="M660" i="1"/>
  <c r="O660" i="1"/>
  <c r="P660" i="1"/>
  <c r="A661" i="1"/>
  <c r="B661" i="1"/>
  <c r="D661" i="1"/>
  <c r="E661" i="1"/>
  <c r="F661" i="1"/>
  <c r="G661" i="1"/>
  <c r="H661" i="1"/>
  <c r="I661" i="1"/>
  <c r="J661" i="1"/>
  <c r="K661" i="1"/>
  <c r="L661" i="1"/>
  <c r="M661" i="1"/>
  <c r="O661" i="1"/>
  <c r="P661" i="1"/>
  <c r="A662" i="1"/>
  <c r="B662" i="1"/>
  <c r="D662" i="1"/>
  <c r="E662" i="1"/>
  <c r="F662" i="1"/>
  <c r="G662" i="1"/>
  <c r="H662" i="1"/>
  <c r="I662" i="1"/>
  <c r="J662" i="1"/>
  <c r="K662" i="1"/>
  <c r="L662" i="1"/>
  <c r="M662" i="1"/>
  <c r="O662" i="1"/>
  <c r="P662" i="1"/>
  <c r="A663" i="1"/>
  <c r="B663" i="1"/>
  <c r="D663" i="1"/>
  <c r="E663" i="1"/>
  <c r="F663" i="1"/>
  <c r="G663" i="1"/>
  <c r="H663" i="1"/>
  <c r="I663" i="1"/>
  <c r="J663" i="1"/>
  <c r="K663" i="1"/>
  <c r="L663" i="1"/>
  <c r="M663" i="1"/>
  <c r="O663" i="1"/>
  <c r="P663" i="1"/>
  <c r="A664" i="1"/>
  <c r="B664" i="1"/>
  <c r="D664" i="1"/>
  <c r="E664" i="1"/>
  <c r="F664" i="1"/>
  <c r="G664" i="1"/>
  <c r="H664" i="1"/>
  <c r="I664" i="1"/>
  <c r="J664" i="1"/>
  <c r="K664" i="1"/>
  <c r="L664" i="1"/>
  <c r="M664" i="1"/>
  <c r="O664" i="1"/>
  <c r="P664" i="1"/>
  <c r="A665" i="1"/>
  <c r="B665" i="1"/>
  <c r="D665" i="1"/>
  <c r="E665" i="1"/>
  <c r="F665" i="1"/>
  <c r="G665" i="1"/>
  <c r="H665" i="1"/>
  <c r="I665" i="1"/>
  <c r="J665" i="1"/>
  <c r="K665" i="1"/>
  <c r="L665" i="1"/>
  <c r="M665" i="1"/>
  <c r="O665" i="1"/>
  <c r="P665" i="1"/>
  <c r="A666" i="1"/>
  <c r="B666" i="1"/>
  <c r="D666" i="1"/>
  <c r="E666" i="1"/>
  <c r="F666" i="1"/>
  <c r="G666" i="1"/>
  <c r="H666" i="1"/>
  <c r="I666" i="1"/>
  <c r="J666" i="1"/>
  <c r="K666" i="1"/>
  <c r="L666" i="1"/>
  <c r="M666" i="1"/>
  <c r="O666" i="1"/>
  <c r="P666" i="1"/>
  <c r="A667" i="1"/>
  <c r="B667" i="1"/>
  <c r="D667" i="1"/>
  <c r="E667" i="1"/>
  <c r="F667" i="1"/>
  <c r="G667" i="1"/>
  <c r="H667" i="1"/>
  <c r="I667" i="1"/>
  <c r="J667" i="1"/>
  <c r="K667" i="1"/>
  <c r="L667" i="1"/>
  <c r="M667" i="1"/>
  <c r="O667" i="1"/>
  <c r="P667" i="1"/>
  <c r="A668" i="1"/>
  <c r="B668" i="1"/>
  <c r="D668" i="1"/>
  <c r="E668" i="1"/>
  <c r="F668" i="1"/>
  <c r="G668" i="1"/>
  <c r="H668" i="1"/>
  <c r="I668" i="1"/>
  <c r="J668" i="1"/>
  <c r="K668" i="1"/>
  <c r="L668" i="1"/>
  <c r="M668" i="1"/>
  <c r="O668" i="1"/>
  <c r="P668" i="1"/>
  <c r="A669" i="1"/>
  <c r="B669" i="1"/>
  <c r="D669" i="1"/>
  <c r="E669" i="1"/>
  <c r="F669" i="1"/>
  <c r="G669" i="1"/>
  <c r="H669" i="1"/>
  <c r="I669" i="1"/>
  <c r="J669" i="1"/>
  <c r="K669" i="1"/>
  <c r="L669" i="1"/>
  <c r="M669" i="1"/>
  <c r="O669" i="1"/>
  <c r="P669" i="1"/>
  <c r="A670" i="1"/>
  <c r="B670" i="1"/>
  <c r="D670" i="1"/>
  <c r="E670" i="1"/>
  <c r="F670" i="1"/>
  <c r="G670" i="1"/>
  <c r="H670" i="1"/>
  <c r="I670" i="1"/>
  <c r="J670" i="1"/>
  <c r="K670" i="1"/>
  <c r="L670" i="1"/>
  <c r="M670" i="1"/>
  <c r="O670" i="1"/>
  <c r="P670" i="1"/>
  <c r="A671" i="1"/>
  <c r="B671" i="1"/>
  <c r="D671" i="1"/>
  <c r="E671" i="1"/>
  <c r="F671" i="1"/>
  <c r="G671" i="1"/>
  <c r="H671" i="1"/>
  <c r="I671" i="1"/>
  <c r="J671" i="1"/>
  <c r="K671" i="1"/>
  <c r="L671" i="1"/>
  <c r="M671" i="1"/>
  <c r="O671" i="1"/>
  <c r="P671" i="1"/>
  <c r="A672" i="1"/>
  <c r="B672" i="1"/>
  <c r="D672" i="1"/>
  <c r="E672" i="1"/>
  <c r="F672" i="1"/>
  <c r="G672" i="1"/>
  <c r="H672" i="1"/>
  <c r="I672" i="1"/>
  <c r="J672" i="1"/>
  <c r="K672" i="1"/>
  <c r="L672" i="1"/>
  <c r="M672" i="1"/>
  <c r="O672" i="1"/>
  <c r="P672" i="1"/>
  <c r="A673" i="1"/>
  <c r="B673" i="1"/>
  <c r="D673" i="1"/>
  <c r="E673" i="1"/>
  <c r="F673" i="1"/>
  <c r="G673" i="1"/>
  <c r="H673" i="1"/>
  <c r="I673" i="1"/>
  <c r="J673" i="1"/>
  <c r="K673" i="1"/>
  <c r="L673" i="1"/>
  <c r="M673" i="1"/>
  <c r="O673" i="1"/>
  <c r="P673" i="1"/>
  <c r="A674" i="1"/>
  <c r="B674" i="1"/>
  <c r="D674" i="1"/>
  <c r="E674" i="1"/>
  <c r="F674" i="1"/>
  <c r="G674" i="1"/>
  <c r="H674" i="1"/>
  <c r="I674" i="1"/>
  <c r="J674" i="1"/>
  <c r="K674" i="1"/>
  <c r="L674" i="1"/>
  <c r="M674" i="1"/>
  <c r="O674" i="1"/>
  <c r="P674" i="1"/>
  <c r="A675" i="1"/>
  <c r="B675" i="1"/>
  <c r="D675" i="1"/>
  <c r="E675" i="1"/>
  <c r="F675" i="1"/>
  <c r="G675" i="1"/>
  <c r="H675" i="1"/>
  <c r="I675" i="1"/>
  <c r="J675" i="1"/>
  <c r="K675" i="1"/>
  <c r="L675" i="1"/>
  <c r="M675" i="1"/>
  <c r="O675" i="1"/>
  <c r="P675" i="1"/>
  <c r="A676" i="1"/>
  <c r="B676" i="1"/>
  <c r="D676" i="1"/>
  <c r="E676" i="1"/>
  <c r="F676" i="1"/>
  <c r="G676" i="1"/>
  <c r="H676" i="1"/>
  <c r="I676" i="1"/>
  <c r="J676" i="1"/>
  <c r="K676" i="1"/>
  <c r="L676" i="1"/>
  <c r="M676" i="1"/>
  <c r="O676" i="1"/>
  <c r="P676" i="1"/>
  <c r="A677" i="1"/>
  <c r="B677" i="1"/>
  <c r="D677" i="1"/>
  <c r="E677" i="1"/>
  <c r="F677" i="1"/>
  <c r="G677" i="1"/>
  <c r="H677" i="1"/>
  <c r="I677" i="1"/>
  <c r="J677" i="1"/>
  <c r="K677" i="1"/>
  <c r="L677" i="1"/>
  <c r="M677" i="1"/>
  <c r="O677" i="1"/>
  <c r="P677" i="1"/>
  <c r="A678" i="1"/>
  <c r="B678" i="1"/>
  <c r="D678" i="1"/>
  <c r="E678" i="1"/>
  <c r="F678" i="1"/>
  <c r="G678" i="1"/>
  <c r="H678" i="1"/>
  <c r="I678" i="1"/>
  <c r="J678" i="1"/>
  <c r="K678" i="1"/>
  <c r="L678" i="1"/>
  <c r="M678" i="1"/>
  <c r="O678" i="1"/>
  <c r="P678" i="1"/>
  <c r="A679" i="1"/>
  <c r="B679" i="1"/>
  <c r="D679" i="1"/>
  <c r="E679" i="1"/>
  <c r="F679" i="1"/>
  <c r="G679" i="1"/>
  <c r="H679" i="1"/>
  <c r="I679" i="1"/>
  <c r="J679" i="1"/>
  <c r="K679" i="1"/>
  <c r="L679" i="1"/>
  <c r="M679" i="1"/>
  <c r="O679" i="1"/>
  <c r="P679" i="1"/>
  <c r="A680" i="1"/>
  <c r="B680" i="1"/>
  <c r="D680" i="1"/>
  <c r="E680" i="1"/>
  <c r="F680" i="1"/>
  <c r="G680" i="1"/>
  <c r="H680" i="1"/>
  <c r="I680" i="1"/>
  <c r="J680" i="1"/>
  <c r="K680" i="1"/>
  <c r="L680" i="1"/>
  <c r="M680" i="1"/>
  <c r="O680" i="1"/>
  <c r="P680" i="1"/>
  <c r="A681" i="1"/>
  <c r="B681" i="1"/>
  <c r="D681" i="1"/>
  <c r="E681" i="1"/>
  <c r="F681" i="1"/>
  <c r="G681" i="1"/>
  <c r="H681" i="1"/>
  <c r="I681" i="1"/>
  <c r="J681" i="1"/>
  <c r="K681" i="1"/>
  <c r="L681" i="1"/>
  <c r="M681" i="1"/>
  <c r="O681" i="1"/>
  <c r="P681" i="1"/>
  <c r="A682" i="1"/>
  <c r="B682" i="1"/>
  <c r="D682" i="1"/>
  <c r="E682" i="1"/>
  <c r="F682" i="1"/>
  <c r="G682" i="1"/>
  <c r="H682" i="1"/>
  <c r="I682" i="1"/>
  <c r="J682" i="1"/>
  <c r="K682" i="1"/>
  <c r="L682" i="1"/>
  <c r="M682" i="1"/>
  <c r="O682" i="1"/>
  <c r="P682" i="1"/>
  <c r="A683" i="1"/>
  <c r="B683" i="1"/>
  <c r="D683" i="1"/>
  <c r="E683" i="1"/>
  <c r="F683" i="1"/>
  <c r="G683" i="1"/>
  <c r="H683" i="1"/>
  <c r="I683" i="1"/>
  <c r="J683" i="1"/>
  <c r="K683" i="1"/>
  <c r="L683" i="1"/>
  <c r="M683" i="1"/>
  <c r="O683" i="1"/>
  <c r="P683" i="1"/>
  <c r="A684" i="1"/>
  <c r="B684" i="1"/>
  <c r="D684" i="1"/>
  <c r="E684" i="1"/>
  <c r="F684" i="1"/>
  <c r="G684" i="1"/>
  <c r="H684" i="1"/>
  <c r="I684" i="1"/>
  <c r="J684" i="1"/>
  <c r="K684" i="1"/>
  <c r="L684" i="1"/>
  <c r="M684" i="1"/>
  <c r="O684" i="1"/>
  <c r="P684" i="1"/>
  <c r="A685" i="1"/>
  <c r="B685" i="1"/>
  <c r="D685" i="1"/>
  <c r="E685" i="1"/>
  <c r="F685" i="1"/>
  <c r="G685" i="1"/>
  <c r="H685" i="1"/>
  <c r="I685" i="1"/>
  <c r="J685" i="1"/>
  <c r="K685" i="1"/>
  <c r="L685" i="1"/>
  <c r="M685" i="1"/>
  <c r="O685" i="1"/>
  <c r="P685" i="1"/>
  <c r="A686" i="1"/>
  <c r="B686" i="1"/>
  <c r="D686" i="1"/>
  <c r="E686" i="1"/>
  <c r="F686" i="1"/>
  <c r="G686" i="1"/>
  <c r="H686" i="1"/>
  <c r="I686" i="1"/>
  <c r="J686" i="1"/>
  <c r="K686" i="1"/>
  <c r="L686" i="1"/>
  <c r="M686" i="1"/>
  <c r="O686" i="1"/>
  <c r="P686" i="1"/>
  <c r="A687" i="1"/>
  <c r="B687" i="1"/>
  <c r="D687" i="1"/>
  <c r="E687" i="1"/>
  <c r="F687" i="1"/>
  <c r="G687" i="1"/>
  <c r="H687" i="1"/>
  <c r="I687" i="1"/>
  <c r="J687" i="1"/>
  <c r="K687" i="1"/>
  <c r="L687" i="1"/>
  <c r="M687" i="1"/>
  <c r="O687" i="1"/>
  <c r="P687" i="1"/>
  <c r="A688" i="1"/>
  <c r="B688" i="1"/>
  <c r="D688" i="1"/>
  <c r="E688" i="1"/>
  <c r="F688" i="1"/>
  <c r="G688" i="1"/>
  <c r="H688" i="1"/>
  <c r="I688" i="1"/>
  <c r="J688" i="1"/>
  <c r="K688" i="1"/>
  <c r="L688" i="1"/>
  <c r="M688" i="1"/>
  <c r="O688" i="1"/>
  <c r="P688" i="1"/>
  <c r="A689" i="1"/>
  <c r="B689" i="1"/>
  <c r="D689" i="1"/>
  <c r="E689" i="1"/>
  <c r="F689" i="1"/>
  <c r="G689" i="1"/>
  <c r="H689" i="1"/>
  <c r="I689" i="1"/>
  <c r="J689" i="1"/>
  <c r="K689" i="1"/>
  <c r="L689" i="1"/>
  <c r="M689" i="1"/>
  <c r="O689" i="1"/>
  <c r="P689" i="1"/>
  <c r="A690" i="1"/>
  <c r="B690" i="1"/>
  <c r="D690" i="1"/>
  <c r="E690" i="1"/>
  <c r="F690" i="1"/>
  <c r="G690" i="1"/>
  <c r="H690" i="1"/>
  <c r="I690" i="1"/>
  <c r="J690" i="1"/>
  <c r="K690" i="1"/>
  <c r="L690" i="1"/>
  <c r="M690" i="1"/>
  <c r="O690" i="1"/>
  <c r="P690" i="1"/>
  <c r="A691" i="1"/>
  <c r="B691" i="1"/>
  <c r="D691" i="1"/>
  <c r="E691" i="1"/>
  <c r="F691" i="1"/>
  <c r="G691" i="1"/>
  <c r="H691" i="1"/>
  <c r="I691" i="1"/>
  <c r="J691" i="1"/>
  <c r="K691" i="1"/>
  <c r="L691" i="1"/>
  <c r="M691" i="1"/>
  <c r="O691" i="1"/>
  <c r="P691" i="1"/>
  <c r="A692" i="1"/>
  <c r="B692" i="1"/>
  <c r="D692" i="1"/>
  <c r="E692" i="1"/>
  <c r="F692" i="1"/>
  <c r="G692" i="1"/>
  <c r="H692" i="1"/>
  <c r="I692" i="1"/>
  <c r="J692" i="1"/>
  <c r="K692" i="1"/>
  <c r="L692" i="1"/>
  <c r="M692" i="1"/>
  <c r="O692" i="1"/>
  <c r="P692" i="1"/>
  <c r="A693" i="1"/>
  <c r="B693" i="1"/>
  <c r="D693" i="1"/>
  <c r="E693" i="1"/>
  <c r="F693" i="1"/>
  <c r="G693" i="1"/>
  <c r="H693" i="1"/>
  <c r="I693" i="1"/>
  <c r="J693" i="1"/>
  <c r="K693" i="1"/>
  <c r="L693" i="1"/>
  <c r="M693" i="1"/>
  <c r="O693" i="1"/>
  <c r="P693" i="1"/>
  <c r="A694" i="1"/>
  <c r="B694" i="1"/>
  <c r="D694" i="1"/>
  <c r="E694" i="1"/>
  <c r="F694" i="1"/>
  <c r="G694" i="1"/>
  <c r="H694" i="1"/>
  <c r="I694" i="1"/>
  <c r="J694" i="1"/>
  <c r="K694" i="1"/>
  <c r="L694" i="1"/>
  <c r="M694" i="1"/>
  <c r="O694" i="1"/>
  <c r="P694" i="1"/>
  <c r="A695" i="1"/>
  <c r="B695" i="1"/>
  <c r="D695" i="1"/>
  <c r="E695" i="1"/>
  <c r="F695" i="1"/>
  <c r="G695" i="1"/>
  <c r="H695" i="1"/>
  <c r="I695" i="1"/>
  <c r="J695" i="1"/>
  <c r="K695" i="1"/>
  <c r="L695" i="1"/>
  <c r="M695" i="1"/>
  <c r="O695" i="1"/>
  <c r="P695" i="1"/>
  <c r="A696" i="1"/>
  <c r="B696" i="1"/>
  <c r="D696" i="1"/>
  <c r="E696" i="1"/>
  <c r="F696" i="1"/>
  <c r="G696" i="1"/>
  <c r="H696" i="1"/>
  <c r="I696" i="1"/>
  <c r="J696" i="1"/>
  <c r="K696" i="1"/>
  <c r="L696" i="1"/>
  <c r="M696" i="1"/>
  <c r="O696" i="1"/>
  <c r="P696" i="1"/>
  <c r="A697" i="1"/>
  <c r="B697" i="1"/>
  <c r="D697" i="1"/>
  <c r="E697" i="1"/>
  <c r="F697" i="1"/>
  <c r="G697" i="1"/>
  <c r="H697" i="1"/>
  <c r="I697" i="1"/>
  <c r="J697" i="1"/>
  <c r="K697" i="1"/>
  <c r="L697" i="1"/>
  <c r="M697" i="1"/>
  <c r="O697" i="1"/>
  <c r="P697" i="1"/>
  <c r="A698" i="1"/>
  <c r="B698" i="1"/>
  <c r="D698" i="1"/>
  <c r="E698" i="1"/>
  <c r="F698" i="1"/>
  <c r="G698" i="1"/>
  <c r="H698" i="1"/>
  <c r="I698" i="1"/>
  <c r="J698" i="1"/>
  <c r="K698" i="1"/>
  <c r="L698" i="1"/>
  <c r="M698" i="1"/>
  <c r="O698" i="1"/>
  <c r="P698" i="1"/>
  <c r="A699" i="1"/>
  <c r="B699" i="1"/>
  <c r="D699" i="1"/>
  <c r="E699" i="1"/>
  <c r="F699" i="1"/>
  <c r="G699" i="1"/>
  <c r="H699" i="1"/>
  <c r="I699" i="1"/>
  <c r="J699" i="1"/>
  <c r="K699" i="1"/>
  <c r="L699" i="1"/>
  <c r="M699" i="1"/>
  <c r="O699" i="1"/>
  <c r="P699" i="1"/>
  <c r="A700" i="1"/>
  <c r="B700" i="1"/>
  <c r="D700" i="1"/>
  <c r="E700" i="1"/>
  <c r="F700" i="1"/>
  <c r="G700" i="1"/>
  <c r="H700" i="1"/>
  <c r="I700" i="1"/>
  <c r="J700" i="1"/>
  <c r="K700" i="1"/>
  <c r="L700" i="1"/>
  <c r="M700" i="1"/>
  <c r="O700" i="1"/>
  <c r="P700" i="1"/>
  <c r="A701" i="1"/>
  <c r="B701" i="1"/>
  <c r="D701" i="1"/>
  <c r="E701" i="1"/>
  <c r="F701" i="1"/>
  <c r="G701" i="1"/>
  <c r="H701" i="1"/>
  <c r="I701" i="1"/>
  <c r="J701" i="1"/>
  <c r="K701" i="1"/>
  <c r="L701" i="1"/>
  <c r="M701" i="1"/>
  <c r="O701" i="1"/>
  <c r="P701" i="1"/>
  <c r="A702" i="1"/>
  <c r="B702" i="1"/>
  <c r="D702" i="1"/>
  <c r="E702" i="1"/>
  <c r="F702" i="1"/>
  <c r="G702" i="1"/>
  <c r="H702" i="1"/>
  <c r="I702" i="1"/>
  <c r="J702" i="1"/>
  <c r="K702" i="1"/>
  <c r="L702" i="1"/>
  <c r="M702" i="1"/>
  <c r="O702" i="1"/>
  <c r="P702" i="1"/>
  <c r="A703" i="1"/>
  <c r="B703" i="1"/>
  <c r="D703" i="1"/>
  <c r="E703" i="1"/>
  <c r="F703" i="1"/>
  <c r="G703" i="1"/>
  <c r="H703" i="1"/>
  <c r="I703" i="1"/>
  <c r="J703" i="1"/>
  <c r="K703" i="1"/>
  <c r="L703" i="1"/>
  <c r="M703" i="1"/>
  <c r="O703" i="1"/>
  <c r="P703" i="1"/>
  <c r="A704" i="1"/>
  <c r="B704" i="1"/>
  <c r="D704" i="1"/>
  <c r="E704" i="1"/>
  <c r="F704" i="1"/>
  <c r="G704" i="1"/>
  <c r="H704" i="1"/>
  <c r="I704" i="1"/>
  <c r="J704" i="1"/>
  <c r="K704" i="1"/>
  <c r="L704" i="1"/>
  <c r="M704" i="1"/>
  <c r="O704" i="1"/>
  <c r="P704" i="1"/>
  <c r="A705" i="1"/>
  <c r="B705" i="1"/>
  <c r="D705" i="1"/>
  <c r="E705" i="1"/>
  <c r="F705" i="1"/>
  <c r="G705" i="1"/>
  <c r="H705" i="1"/>
  <c r="I705" i="1"/>
  <c r="J705" i="1"/>
  <c r="K705" i="1"/>
  <c r="L705" i="1"/>
  <c r="M705" i="1"/>
  <c r="O705" i="1"/>
  <c r="P705" i="1"/>
  <c r="A706" i="1"/>
  <c r="B706" i="1"/>
  <c r="D706" i="1"/>
  <c r="E706" i="1"/>
  <c r="F706" i="1"/>
  <c r="G706" i="1"/>
  <c r="H706" i="1"/>
  <c r="I706" i="1"/>
  <c r="J706" i="1"/>
  <c r="K706" i="1"/>
  <c r="L706" i="1"/>
  <c r="M706" i="1"/>
  <c r="O706" i="1"/>
  <c r="P706" i="1"/>
  <c r="A707" i="1"/>
  <c r="B707" i="1"/>
  <c r="D707" i="1"/>
  <c r="E707" i="1"/>
  <c r="F707" i="1"/>
  <c r="G707" i="1"/>
  <c r="H707" i="1"/>
  <c r="I707" i="1"/>
  <c r="J707" i="1"/>
  <c r="K707" i="1"/>
  <c r="L707" i="1"/>
  <c r="M707" i="1"/>
  <c r="O707" i="1"/>
  <c r="P707" i="1"/>
  <c r="A708" i="1"/>
  <c r="B708" i="1"/>
  <c r="D708" i="1"/>
  <c r="E708" i="1"/>
  <c r="F708" i="1"/>
  <c r="G708" i="1"/>
  <c r="H708" i="1"/>
  <c r="I708" i="1"/>
  <c r="J708" i="1"/>
  <c r="K708" i="1"/>
  <c r="L708" i="1"/>
  <c r="M708" i="1"/>
  <c r="O708" i="1"/>
  <c r="P708" i="1"/>
  <c r="A709" i="1"/>
  <c r="B709" i="1"/>
  <c r="D709" i="1"/>
  <c r="E709" i="1"/>
  <c r="F709" i="1"/>
  <c r="G709" i="1"/>
  <c r="H709" i="1"/>
  <c r="I709" i="1"/>
  <c r="J709" i="1"/>
  <c r="K709" i="1"/>
  <c r="L709" i="1"/>
  <c r="M709" i="1"/>
  <c r="O709" i="1"/>
  <c r="P709" i="1"/>
  <c r="A710" i="1"/>
  <c r="B710" i="1"/>
  <c r="D710" i="1"/>
  <c r="E710" i="1"/>
  <c r="F710" i="1"/>
  <c r="G710" i="1"/>
  <c r="H710" i="1"/>
  <c r="I710" i="1"/>
  <c r="J710" i="1"/>
  <c r="K710" i="1"/>
  <c r="L710" i="1"/>
  <c r="M710" i="1"/>
  <c r="O710" i="1"/>
  <c r="P710" i="1"/>
  <c r="A711" i="1"/>
  <c r="B711" i="1"/>
  <c r="D711" i="1"/>
  <c r="E711" i="1"/>
  <c r="F711" i="1"/>
  <c r="G711" i="1"/>
  <c r="H711" i="1"/>
  <c r="I711" i="1"/>
  <c r="J711" i="1"/>
  <c r="K711" i="1"/>
  <c r="L711" i="1"/>
  <c r="M711" i="1"/>
  <c r="O711" i="1"/>
  <c r="P711" i="1"/>
  <c r="A712" i="1"/>
  <c r="B712" i="1"/>
  <c r="D712" i="1"/>
  <c r="E712" i="1"/>
  <c r="F712" i="1"/>
  <c r="G712" i="1"/>
  <c r="H712" i="1"/>
  <c r="I712" i="1"/>
  <c r="J712" i="1"/>
  <c r="K712" i="1"/>
  <c r="L712" i="1"/>
  <c r="M712" i="1"/>
  <c r="O712" i="1"/>
  <c r="P712" i="1"/>
  <c r="A713" i="1"/>
  <c r="B713" i="1"/>
  <c r="D713" i="1"/>
  <c r="E713" i="1"/>
  <c r="F713" i="1"/>
  <c r="G713" i="1"/>
  <c r="H713" i="1"/>
  <c r="I713" i="1"/>
  <c r="J713" i="1"/>
  <c r="K713" i="1"/>
  <c r="L713" i="1"/>
  <c r="M713" i="1"/>
  <c r="O713" i="1"/>
  <c r="P713" i="1"/>
  <c r="A714" i="1"/>
  <c r="B714" i="1"/>
  <c r="D714" i="1"/>
  <c r="E714" i="1"/>
  <c r="F714" i="1"/>
  <c r="G714" i="1"/>
  <c r="H714" i="1"/>
  <c r="I714" i="1"/>
  <c r="J714" i="1"/>
  <c r="K714" i="1"/>
  <c r="L714" i="1"/>
  <c r="M714" i="1"/>
  <c r="O714" i="1"/>
  <c r="P714" i="1"/>
  <c r="A715" i="1"/>
  <c r="B715" i="1"/>
  <c r="D715" i="1"/>
  <c r="E715" i="1"/>
  <c r="F715" i="1"/>
  <c r="G715" i="1"/>
  <c r="H715" i="1"/>
  <c r="I715" i="1"/>
  <c r="J715" i="1"/>
  <c r="K715" i="1"/>
  <c r="L715" i="1"/>
  <c r="M715" i="1"/>
  <c r="O715" i="1"/>
  <c r="P715" i="1"/>
  <c r="A716" i="1"/>
  <c r="B716" i="1"/>
  <c r="D716" i="1"/>
  <c r="E716" i="1"/>
  <c r="F716" i="1"/>
  <c r="G716" i="1"/>
  <c r="H716" i="1"/>
  <c r="I716" i="1"/>
  <c r="J716" i="1"/>
  <c r="K716" i="1"/>
  <c r="L716" i="1"/>
  <c r="M716" i="1"/>
  <c r="O716" i="1"/>
  <c r="P716" i="1"/>
  <c r="A717" i="1"/>
  <c r="B717" i="1"/>
  <c r="D717" i="1"/>
  <c r="E717" i="1"/>
  <c r="F717" i="1"/>
  <c r="G717" i="1"/>
  <c r="H717" i="1"/>
  <c r="I717" i="1"/>
  <c r="J717" i="1"/>
  <c r="K717" i="1"/>
  <c r="L717" i="1"/>
  <c r="M717" i="1"/>
  <c r="O717" i="1"/>
  <c r="P717" i="1"/>
  <c r="A718" i="1"/>
  <c r="B718" i="1"/>
  <c r="D718" i="1"/>
  <c r="E718" i="1"/>
  <c r="F718" i="1"/>
  <c r="G718" i="1"/>
  <c r="H718" i="1"/>
  <c r="I718" i="1"/>
  <c r="J718" i="1"/>
  <c r="K718" i="1"/>
  <c r="L718" i="1"/>
  <c r="M718" i="1"/>
  <c r="O718" i="1"/>
  <c r="P718" i="1"/>
  <c r="A719" i="1"/>
  <c r="B719" i="1"/>
  <c r="D719" i="1"/>
  <c r="E719" i="1"/>
  <c r="F719" i="1"/>
  <c r="G719" i="1"/>
  <c r="H719" i="1"/>
  <c r="I719" i="1"/>
  <c r="J719" i="1"/>
  <c r="K719" i="1"/>
  <c r="L719" i="1"/>
  <c r="M719" i="1"/>
  <c r="O719" i="1"/>
  <c r="P719" i="1"/>
  <c r="A720" i="1"/>
  <c r="B720" i="1"/>
  <c r="D720" i="1"/>
  <c r="E720" i="1"/>
  <c r="F720" i="1"/>
  <c r="G720" i="1"/>
  <c r="H720" i="1"/>
  <c r="I720" i="1"/>
  <c r="J720" i="1"/>
  <c r="K720" i="1"/>
  <c r="L720" i="1"/>
  <c r="M720" i="1"/>
  <c r="O720" i="1"/>
  <c r="P720" i="1"/>
  <c r="A721" i="1"/>
  <c r="B721" i="1"/>
  <c r="D721" i="1"/>
  <c r="E721" i="1"/>
  <c r="F721" i="1"/>
  <c r="G721" i="1"/>
  <c r="H721" i="1"/>
  <c r="I721" i="1"/>
  <c r="J721" i="1"/>
  <c r="K721" i="1"/>
  <c r="L721" i="1"/>
  <c r="M721" i="1"/>
  <c r="O721" i="1"/>
  <c r="P721" i="1"/>
  <c r="A722" i="1"/>
  <c r="B722" i="1"/>
  <c r="D722" i="1"/>
  <c r="E722" i="1"/>
  <c r="F722" i="1"/>
  <c r="G722" i="1"/>
  <c r="H722" i="1"/>
  <c r="I722" i="1"/>
  <c r="J722" i="1"/>
  <c r="K722" i="1"/>
  <c r="L722" i="1"/>
  <c r="M722" i="1"/>
  <c r="O722" i="1"/>
  <c r="P722" i="1"/>
  <c r="A723" i="1"/>
  <c r="B723" i="1"/>
  <c r="D723" i="1"/>
  <c r="E723" i="1"/>
  <c r="F723" i="1"/>
  <c r="G723" i="1"/>
  <c r="H723" i="1"/>
  <c r="I723" i="1"/>
  <c r="J723" i="1"/>
  <c r="K723" i="1"/>
  <c r="L723" i="1"/>
  <c r="M723" i="1"/>
  <c r="O723" i="1"/>
  <c r="P723" i="1"/>
  <c r="A724" i="1"/>
  <c r="B724" i="1"/>
  <c r="D724" i="1"/>
  <c r="E724" i="1"/>
  <c r="F724" i="1"/>
  <c r="G724" i="1"/>
  <c r="H724" i="1"/>
  <c r="I724" i="1"/>
  <c r="J724" i="1"/>
  <c r="K724" i="1"/>
  <c r="L724" i="1"/>
  <c r="M724" i="1"/>
  <c r="O724" i="1"/>
  <c r="P724" i="1"/>
  <c r="A725" i="1"/>
  <c r="B725" i="1"/>
  <c r="D725" i="1"/>
  <c r="E725" i="1"/>
  <c r="F725" i="1"/>
  <c r="G725" i="1"/>
  <c r="H725" i="1"/>
  <c r="I725" i="1"/>
  <c r="J725" i="1"/>
  <c r="K725" i="1"/>
  <c r="L725" i="1"/>
  <c r="M725" i="1"/>
  <c r="O725" i="1"/>
  <c r="P725" i="1"/>
  <c r="A726" i="1"/>
  <c r="B726" i="1"/>
  <c r="D726" i="1"/>
  <c r="E726" i="1"/>
  <c r="F726" i="1"/>
  <c r="G726" i="1"/>
  <c r="H726" i="1"/>
  <c r="I726" i="1"/>
  <c r="J726" i="1"/>
  <c r="K726" i="1"/>
  <c r="L726" i="1"/>
  <c r="M726" i="1"/>
  <c r="O726" i="1"/>
  <c r="P726" i="1"/>
  <c r="A727" i="1"/>
  <c r="B727" i="1"/>
  <c r="D727" i="1"/>
  <c r="E727" i="1"/>
  <c r="F727" i="1"/>
  <c r="G727" i="1"/>
  <c r="H727" i="1"/>
  <c r="I727" i="1"/>
  <c r="J727" i="1"/>
  <c r="K727" i="1"/>
  <c r="L727" i="1"/>
  <c r="M727" i="1"/>
  <c r="O727" i="1"/>
  <c r="P727" i="1"/>
  <c r="A728" i="1"/>
  <c r="B728" i="1"/>
  <c r="D728" i="1"/>
  <c r="E728" i="1"/>
  <c r="F728" i="1"/>
  <c r="G728" i="1"/>
  <c r="H728" i="1"/>
  <c r="I728" i="1"/>
  <c r="J728" i="1"/>
  <c r="K728" i="1"/>
  <c r="L728" i="1"/>
  <c r="M728" i="1"/>
  <c r="O728" i="1"/>
  <c r="P728" i="1"/>
  <c r="A729" i="1"/>
  <c r="B729" i="1"/>
  <c r="D729" i="1"/>
  <c r="E729" i="1"/>
  <c r="F729" i="1"/>
  <c r="G729" i="1"/>
  <c r="H729" i="1"/>
  <c r="I729" i="1"/>
  <c r="J729" i="1"/>
  <c r="K729" i="1"/>
  <c r="L729" i="1"/>
  <c r="M729" i="1"/>
  <c r="O729" i="1"/>
  <c r="P729" i="1"/>
  <c r="A730" i="1"/>
  <c r="B730" i="1"/>
  <c r="D730" i="1"/>
  <c r="E730" i="1"/>
  <c r="F730" i="1"/>
  <c r="G730" i="1"/>
  <c r="H730" i="1"/>
  <c r="I730" i="1"/>
  <c r="J730" i="1"/>
  <c r="K730" i="1"/>
  <c r="L730" i="1"/>
  <c r="M730" i="1"/>
  <c r="O730" i="1"/>
  <c r="P730" i="1"/>
  <c r="A731" i="1"/>
  <c r="B731" i="1"/>
  <c r="D731" i="1"/>
  <c r="E731" i="1"/>
  <c r="F731" i="1"/>
  <c r="G731" i="1"/>
  <c r="H731" i="1"/>
  <c r="I731" i="1"/>
  <c r="J731" i="1"/>
  <c r="K731" i="1"/>
  <c r="L731" i="1"/>
  <c r="M731" i="1"/>
  <c r="O731" i="1"/>
  <c r="P731" i="1"/>
  <c r="A732" i="1"/>
  <c r="B732" i="1"/>
  <c r="D732" i="1"/>
  <c r="E732" i="1"/>
  <c r="F732" i="1"/>
  <c r="G732" i="1"/>
  <c r="H732" i="1"/>
  <c r="I732" i="1"/>
  <c r="J732" i="1"/>
  <c r="K732" i="1"/>
  <c r="L732" i="1"/>
  <c r="M732" i="1"/>
  <c r="O732" i="1"/>
  <c r="P732" i="1"/>
  <c r="A733" i="1"/>
  <c r="B733" i="1"/>
  <c r="D733" i="1"/>
  <c r="E733" i="1"/>
  <c r="F733" i="1"/>
  <c r="G733" i="1"/>
  <c r="H733" i="1"/>
  <c r="I733" i="1"/>
  <c r="J733" i="1"/>
  <c r="K733" i="1"/>
  <c r="L733" i="1"/>
  <c r="M733" i="1"/>
  <c r="O733" i="1"/>
  <c r="P733" i="1"/>
  <c r="A734" i="1"/>
  <c r="B734" i="1"/>
  <c r="D734" i="1"/>
  <c r="E734" i="1"/>
  <c r="F734" i="1"/>
  <c r="G734" i="1"/>
  <c r="H734" i="1"/>
  <c r="I734" i="1"/>
  <c r="J734" i="1"/>
  <c r="K734" i="1"/>
  <c r="L734" i="1"/>
  <c r="M734" i="1"/>
  <c r="O734" i="1"/>
  <c r="P734" i="1"/>
  <c r="A735" i="1"/>
  <c r="B735" i="1"/>
  <c r="D735" i="1"/>
  <c r="E735" i="1"/>
  <c r="F735" i="1"/>
  <c r="G735" i="1"/>
  <c r="H735" i="1"/>
  <c r="I735" i="1"/>
  <c r="J735" i="1"/>
  <c r="K735" i="1"/>
  <c r="L735" i="1"/>
  <c r="M735" i="1"/>
  <c r="O735" i="1"/>
  <c r="P735" i="1"/>
  <c r="A736" i="1"/>
  <c r="B736" i="1"/>
  <c r="D736" i="1"/>
  <c r="E736" i="1"/>
  <c r="F736" i="1"/>
  <c r="G736" i="1"/>
  <c r="H736" i="1"/>
  <c r="I736" i="1"/>
  <c r="J736" i="1"/>
  <c r="K736" i="1"/>
  <c r="L736" i="1"/>
  <c r="M736" i="1"/>
  <c r="O736" i="1"/>
  <c r="P736" i="1"/>
  <c r="A737" i="1"/>
  <c r="B737" i="1"/>
  <c r="D737" i="1"/>
  <c r="E737" i="1"/>
  <c r="F737" i="1"/>
  <c r="G737" i="1"/>
  <c r="H737" i="1"/>
  <c r="I737" i="1"/>
  <c r="J737" i="1"/>
  <c r="K737" i="1"/>
  <c r="L737" i="1"/>
  <c r="M737" i="1"/>
  <c r="O737" i="1"/>
  <c r="P737" i="1"/>
  <c r="A738" i="1"/>
  <c r="B738" i="1"/>
  <c r="D738" i="1"/>
  <c r="E738" i="1"/>
  <c r="F738" i="1"/>
  <c r="G738" i="1"/>
  <c r="H738" i="1"/>
  <c r="I738" i="1"/>
  <c r="J738" i="1"/>
  <c r="K738" i="1"/>
  <c r="L738" i="1"/>
  <c r="M738" i="1"/>
  <c r="O738" i="1"/>
  <c r="P738" i="1"/>
  <c r="A739" i="1"/>
  <c r="B739" i="1"/>
  <c r="D739" i="1"/>
  <c r="E739" i="1"/>
  <c r="F739" i="1"/>
  <c r="G739" i="1"/>
  <c r="H739" i="1"/>
  <c r="I739" i="1"/>
  <c r="J739" i="1"/>
  <c r="K739" i="1"/>
  <c r="L739" i="1"/>
  <c r="M739" i="1"/>
  <c r="O739" i="1"/>
  <c r="P739" i="1"/>
  <c r="A740" i="1"/>
  <c r="B740" i="1"/>
  <c r="D740" i="1"/>
  <c r="E740" i="1"/>
  <c r="F740" i="1"/>
  <c r="G740" i="1"/>
  <c r="H740" i="1"/>
  <c r="I740" i="1"/>
  <c r="J740" i="1"/>
  <c r="K740" i="1"/>
  <c r="L740" i="1"/>
  <c r="M740" i="1"/>
  <c r="O740" i="1"/>
  <c r="P740" i="1"/>
  <c r="A741" i="1"/>
  <c r="B741" i="1"/>
  <c r="D741" i="1"/>
  <c r="E741" i="1"/>
  <c r="F741" i="1"/>
  <c r="G741" i="1"/>
  <c r="H741" i="1"/>
  <c r="I741" i="1"/>
  <c r="J741" i="1"/>
  <c r="K741" i="1"/>
  <c r="L741" i="1"/>
  <c r="M741" i="1"/>
  <c r="O741" i="1"/>
  <c r="P741" i="1"/>
  <c r="A742" i="1"/>
  <c r="B742" i="1"/>
  <c r="D742" i="1"/>
  <c r="E742" i="1"/>
  <c r="F742" i="1"/>
  <c r="G742" i="1"/>
  <c r="H742" i="1"/>
  <c r="I742" i="1"/>
  <c r="J742" i="1"/>
  <c r="K742" i="1"/>
  <c r="L742" i="1"/>
  <c r="M742" i="1"/>
  <c r="O742" i="1"/>
  <c r="P742" i="1"/>
  <c r="A743" i="1"/>
  <c r="B743" i="1"/>
  <c r="D743" i="1"/>
  <c r="E743" i="1"/>
  <c r="F743" i="1"/>
  <c r="G743" i="1"/>
  <c r="H743" i="1"/>
  <c r="I743" i="1"/>
  <c r="J743" i="1"/>
  <c r="K743" i="1"/>
  <c r="L743" i="1"/>
  <c r="M743" i="1"/>
  <c r="O743" i="1"/>
  <c r="P743" i="1"/>
  <c r="A744" i="1"/>
  <c r="B744" i="1"/>
  <c r="D744" i="1"/>
  <c r="E744" i="1"/>
  <c r="F744" i="1"/>
  <c r="G744" i="1"/>
  <c r="H744" i="1"/>
  <c r="I744" i="1"/>
  <c r="J744" i="1"/>
  <c r="K744" i="1"/>
  <c r="L744" i="1"/>
  <c r="M744" i="1"/>
  <c r="O744" i="1"/>
  <c r="P744" i="1"/>
  <c r="A745" i="1"/>
  <c r="B745" i="1"/>
  <c r="D745" i="1"/>
  <c r="E745" i="1"/>
  <c r="F745" i="1"/>
  <c r="G745" i="1"/>
  <c r="H745" i="1"/>
  <c r="I745" i="1"/>
  <c r="J745" i="1"/>
  <c r="K745" i="1"/>
  <c r="L745" i="1"/>
  <c r="M745" i="1"/>
  <c r="O745" i="1"/>
  <c r="P745" i="1"/>
  <c r="A746" i="1"/>
  <c r="B746" i="1"/>
  <c r="D746" i="1"/>
  <c r="E746" i="1"/>
  <c r="F746" i="1"/>
  <c r="G746" i="1"/>
  <c r="H746" i="1"/>
  <c r="I746" i="1"/>
  <c r="J746" i="1"/>
  <c r="K746" i="1"/>
  <c r="L746" i="1"/>
  <c r="M746" i="1"/>
  <c r="O746" i="1"/>
  <c r="P746" i="1"/>
  <c r="A747" i="1"/>
  <c r="B747" i="1"/>
  <c r="D747" i="1"/>
  <c r="E747" i="1"/>
  <c r="F747" i="1"/>
  <c r="G747" i="1"/>
  <c r="H747" i="1"/>
  <c r="I747" i="1"/>
  <c r="J747" i="1"/>
  <c r="K747" i="1"/>
  <c r="L747" i="1"/>
  <c r="M747" i="1"/>
  <c r="O747" i="1"/>
  <c r="P747" i="1"/>
  <c r="A748" i="1"/>
  <c r="B748" i="1"/>
  <c r="D748" i="1"/>
  <c r="E748" i="1"/>
  <c r="F748" i="1"/>
  <c r="G748" i="1"/>
  <c r="H748" i="1"/>
  <c r="I748" i="1"/>
  <c r="J748" i="1"/>
  <c r="K748" i="1"/>
  <c r="L748" i="1"/>
  <c r="M748" i="1"/>
  <c r="O748" i="1"/>
  <c r="P748" i="1"/>
  <c r="A749" i="1"/>
  <c r="B749" i="1"/>
  <c r="D749" i="1"/>
  <c r="E749" i="1"/>
  <c r="F749" i="1"/>
  <c r="G749" i="1"/>
  <c r="H749" i="1"/>
  <c r="I749" i="1"/>
  <c r="J749" i="1"/>
  <c r="K749" i="1"/>
  <c r="L749" i="1"/>
  <c r="M749" i="1"/>
  <c r="O749" i="1"/>
  <c r="P749" i="1"/>
  <c r="A750" i="1"/>
  <c r="B750" i="1"/>
  <c r="D750" i="1"/>
  <c r="E750" i="1"/>
  <c r="F750" i="1"/>
  <c r="G750" i="1"/>
  <c r="H750" i="1"/>
  <c r="I750" i="1"/>
  <c r="J750" i="1"/>
  <c r="K750" i="1"/>
  <c r="L750" i="1"/>
  <c r="M750" i="1"/>
  <c r="O750" i="1"/>
  <c r="P750" i="1"/>
  <c r="A751" i="1"/>
  <c r="B751" i="1"/>
  <c r="D751" i="1"/>
  <c r="E751" i="1"/>
  <c r="F751" i="1"/>
  <c r="G751" i="1"/>
  <c r="H751" i="1"/>
  <c r="I751" i="1"/>
  <c r="J751" i="1"/>
  <c r="K751" i="1"/>
  <c r="L751" i="1"/>
  <c r="M751" i="1"/>
  <c r="O751" i="1"/>
  <c r="P751" i="1"/>
  <c r="A752" i="1"/>
  <c r="B752" i="1"/>
  <c r="D752" i="1"/>
  <c r="E752" i="1"/>
  <c r="F752" i="1"/>
  <c r="G752" i="1"/>
  <c r="H752" i="1"/>
  <c r="I752" i="1"/>
  <c r="J752" i="1"/>
  <c r="K752" i="1"/>
  <c r="L752" i="1"/>
  <c r="M752" i="1"/>
  <c r="O752" i="1"/>
  <c r="P752" i="1"/>
  <c r="A753" i="1"/>
  <c r="B753" i="1"/>
  <c r="D753" i="1"/>
  <c r="E753" i="1"/>
  <c r="F753" i="1"/>
  <c r="G753" i="1"/>
  <c r="H753" i="1"/>
  <c r="I753" i="1"/>
  <c r="J753" i="1"/>
  <c r="K753" i="1"/>
  <c r="L753" i="1"/>
  <c r="M753" i="1"/>
  <c r="O753" i="1"/>
  <c r="P753" i="1"/>
  <c r="A754" i="1"/>
  <c r="B754" i="1"/>
  <c r="D754" i="1"/>
  <c r="E754" i="1"/>
  <c r="F754" i="1"/>
  <c r="G754" i="1"/>
  <c r="H754" i="1"/>
  <c r="I754" i="1"/>
  <c r="J754" i="1"/>
  <c r="K754" i="1"/>
  <c r="L754" i="1"/>
  <c r="M754" i="1"/>
  <c r="O754" i="1"/>
  <c r="P754" i="1"/>
  <c r="A755" i="1"/>
  <c r="B755" i="1"/>
  <c r="D755" i="1"/>
  <c r="E755" i="1"/>
  <c r="F755" i="1"/>
  <c r="G755" i="1"/>
  <c r="H755" i="1"/>
  <c r="I755" i="1"/>
  <c r="J755" i="1"/>
  <c r="K755" i="1"/>
  <c r="L755" i="1"/>
  <c r="M755" i="1"/>
  <c r="O755" i="1"/>
  <c r="P755" i="1"/>
  <c r="A756" i="1"/>
  <c r="B756" i="1"/>
  <c r="D756" i="1"/>
  <c r="E756" i="1"/>
  <c r="F756" i="1"/>
  <c r="G756" i="1"/>
  <c r="H756" i="1"/>
  <c r="I756" i="1"/>
  <c r="J756" i="1"/>
  <c r="K756" i="1"/>
  <c r="L756" i="1"/>
  <c r="M756" i="1"/>
  <c r="O756" i="1"/>
  <c r="P756" i="1"/>
  <c r="A757" i="1"/>
  <c r="B757" i="1"/>
  <c r="D757" i="1"/>
  <c r="E757" i="1"/>
  <c r="F757" i="1"/>
  <c r="G757" i="1"/>
  <c r="H757" i="1"/>
  <c r="I757" i="1"/>
  <c r="J757" i="1"/>
  <c r="K757" i="1"/>
  <c r="L757" i="1"/>
  <c r="M757" i="1"/>
  <c r="O757" i="1"/>
  <c r="P757" i="1"/>
  <c r="A758" i="1"/>
  <c r="B758" i="1"/>
  <c r="D758" i="1"/>
  <c r="E758" i="1"/>
  <c r="F758" i="1"/>
  <c r="G758" i="1"/>
  <c r="H758" i="1"/>
  <c r="I758" i="1"/>
  <c r="J758" i="1"/>
  <c r="K758" i="1"/>
  <c r="L758" i="1"/>
  <c r="M758" i="1"/>
  <c r="O758" i="1"/>
  <c r="P758" i="1"/>
  <c r="A759" i="1"/>
  <c r="B759" i="1"/>
  <c r="D759" i="1"/>
  <c r="E759" i="1"/>
  <c r="F759" i="1"/>
  <c r="G759" i="1"/>
  <c r="H759" i="1"/>
  <c r="I759" i="1"/>
  <c r="J759" i="1"/>
  <c r="K759" i="1"/>
  <c r="L759" i="1"/>
  <c r="M759" i="1"/>
  <c r="O759" i="1"/>
  <c r="P759" i="1"/>
  <c r="A760" i="1"/>
  <c r="B760" i="1"/>
  <c r="D760" i="1"/>
  <c r="E760" i="1"/>
  <c r="F760" i="1"/>
  <c r="G760" i="1"/>
  <c r="H760" i="1"/>
  <c r="I760" i="1"/>
  <c r="J760" i="1"/>
  <c r="K760" i="1"/>
  <c r="L760" i="1"/>
  <c r="M760" i="1"/>
  <c r="O760" i="1"/>
  <c r="P760" i="1"/>
  <c r="A761" i="1"/>
  <c r="B761" i="1"/>
  <c r="D761" i="1"/>
  <c r="E761" i="1"/>
  <c r="F761" i="1"/>
  <c r="G761" i="1"/>
  <c r="H761" i="1"/>
  <c r="I761" i="1"/>
  <c r="J761" i="1"/>
  <c r="K761" i="1"/>
  <c r="L761" i="1"/>
  <c r="M761" i="1"/>
  <c r="O761" i="1"/>
  <c r="P761" i="1"/>
  <c r="A762" i="1"/>
  <c r="B762" i="1"/>
  <c r="D762" i="1"/>
  <c r="E762" i="1"/>
  <c r="F762" i="1"/>
  <c r="G762" i="1"/>
  <c r="H762" i="1"/>
  <c r="I762" i="1"/>
  <c r="J762" i="1"/>
  <c r="K762" i="1"/>
  <c r="L762" i="1"/>
  <c r="M762" i="1"/>
  <c r="O762" i="1"/>
  <c r="P762" i="1"/>
  <c r="A763" i="1"/>
  <c r="B763" i="1"/>
  <c r="D763" i="1"/>
  <c r="E763" i="1"/>
  <c r="F763" i="1"/>
  <c r="G763" i="1"/>
  <c r="H763" i="1"/>
  <c r="I763" i="1"/>
  <c r="J763" i="1"/>
  <c r="K763" i="1"/>
  <c r="L763" i="1"/>
  <c r="M763" i="1"/>
  <c r="O763" i="1"/>
  <c r="P763" i="1"/>
  <c r="A764" i="1"/>
  <c r="B764" i="1"/>
  <c r="D764" i="1"/>
  <c r="E764" i="1"/>
  <c r="F764" i="1"/>
  <c r="G764" i="1"/>
  <c r="H764" i="1"/>
  <c r="I764" i="1"/>
  <c r="J764" i="1"/>
  <c r="K764" i="1"/>
  <c r="L764" i="1"/>
  <c r="M764" i="1"/>
  <c r="O764" i="1"/>
  <c r="P764" i="1"/>
  <c r="A765" i="1"/>
  <c r="B765" i="1"/>
  <c r="D765" i="1"/>
  <c r="E765" i="1"/>
  <c r="F765" i="1"/>
  <c r="G765" i="1"/>
  <c r="H765" i="1"/>
  <c r="I765" i="1"/>
  <c r="J765" i="1"/>
  <c r="K765" i="1"/>
  <c r="L765" i="1"/>
  <c r="M765" i="1"/>
  <c r="O765" i="1"/>
  <c r="P765" i="1"/>
  <c r="A766" i="1"/>
  <c r="B766" i="1"/>
  <c r="D766" i="1"/>
  <c r="E766" i="1"/>
  <c r="F766" i="1"/>
  <c r="G766" i="1"/>
  <c r="H766" i="1"/>
  <c r="I766" i="1"/>
  <c r="J766" i="1"/>
  <c r="K766" i="1"/>
  <c r="L766" i="1"/>
  <c r="M766" i="1"/>
  <c r="O766" i="1"/>
  <c r="P766" i="1"/>
  <c r="A767" i="1"/>
  <c r="B767" i="1"/>
  <c r="D767" i="1"/>
  <c r="E767" i="1"/>
  <c r="F767" i="1"/>
  <c r="G767" i="1"/>
  <c r="H767" i="1"/>
  <c r="I767" i="1"/>
  <c r="J767" i="1"/>
  <c r="K767" i="1"/>
  <c r="L767" i="1"/>
  <c r="M767" i="1"/>
  <c r="O767" i="1"/>
  <c r="P767" i="1"/>
  <c r="A768" i="1"/>
  <c r="B768" i="1"/>
  <c r="D768" i="1"/>
  <c r="E768" i="1"/>
  <c r="F768" i="1"/>
  <c r="G768" i="1"/>
  <c r="H768" i="1"/>
  <c r="I768" i="1"/>
  <c r="J768" i="1"/>
  <c r="K768" i="1"/>
  <c r="L768" i="1"/>
  <c r="M768" i="1"/>
  <c r="O768" i="1"/>
  <c r="P768" i="1"/>
  <c r="A769" i="1"/>
  <c r="B769" i="1"/>
  <c r="D769" i="1"/>
  <c r="E769" i="1"/>
  <c r="F769" i="1"/>
  <c r="G769" i="1"/>
  <c r="H769" i="1"/>
  <c r="I769" i="1"/>
  <c r="J769" i="1"/>
  <c r="K769" i="1"/>
  <c r="L769" i="1"/>
  <c r="M769" i="1"/>
  <c r="O769" i="1"/>
  <c r="P769" i="1"/>
  <c r="A770" i="1"/>
  <c r="B770" i="1"/>
  <c r="D770" i="1"/>
  <c r="E770" i="1"/>
  <c r="F770" i="1"/>
  <c r="G770" i="1"/>
  <c r="H770" i="1"/>
  <c r="I770" i="1"/>
  <c r="J770" i="1"/>
  <c r="K770" i="1"/>
  <c r="L770" i="1"/>
  <c r="M770" i="1"/>
  <c r="O770" i="1"/>
  <c r="P770" i="1"/>
  <c r="A771" i="1"/>
  <c r="B771" i="1"/>
  <c r="D771" i="1"/>
  <c r="E771" i="1"/>
  <c r="F771" i="1"/>
  <c r="G771" i="1"/>
  <c r="H771" i="1"/>
  <c r="I771" i="1"/>
  <c r="J771" i="1"/>
  <c r="K771" i="1"/>
  <c r="L771" i="1"/>
  <c r="M771" i="1"/>
  <c r="O771" i="1"/>
  <c r="P771" i="1"/>
  <c r="A772" i="1"/>
  <c r="B772" i="1"/>
  <c r="D772" i="1"/>
  <c r="E772" i="1"/>
  <c r="F772" i="1"/>
  <c r="G772" i="1"/>
  <c r="H772" i="1"/>
  <c r="I772" i="1"/>
  <c r="J772" i="1"/>
  <c r="K772" i="1"/>
  <c r="L772" i="1"/>
  <c r="M772" i="1"/>
  <c r="O772" i="1"/>
  <c r="P772" i="1"/>
  <c r="A773" i="1"/>
  <c r="B773" i="1"/>
  <c r="D773" i="1"/>
  <c r="E773" i="1"/>
  <c r="F773" i="1"/>
  <c r="G773" i="1"/>
  <c r="H773" i="1"/>
  <c r="I773" i="1"/>
  <c r="J773" i="1"/>
  <c r="K773" i="1"/>
  <c r="L773" i="1"/>
  <c r="M773" i="1"/>
  <c r="O773" i="1"/>
  <c r="P773" i="1"/>
  <c r="A774" i="1"/>
  <c r="B774" i="1"/>
  <c r="D774" i="1"/>
  <c r="E774" i="1"/>
  <c r="F774" i="1"/>
  <c r="G774" i="1"/>
  <c r="H774" i="1"/>
  <c r="I774" i="1"/>
  <c r="J774" i="1"/>
  <c r="K774" i="1"/>
  <c r="L774" i="1"/>
  <c r="M774" i="1"/>
  <c r="O774" i="1"/>
  <c r="P774" i="1"/>
  <c r="A775" i="1"/>
  <c r="B775" i="1"/>
  <c r="D775" i="1"/>
  <c r="E775" i="1"/>
  <c r="F775" i="1"/>
  <c r="G775" i="1"/>
  <c r="H775" i="1"/>
  <c r="I775" i="1"/>
  <c r="J775" i="1"/>
  <c r="K775" i="1"/>
  <c r="L775" i="1"/>
  <c r="M775" i="1"/>
  <c r="O775" i="1"/>
  <c r="P775" i="1"/>
  <c r="A776" i="1"/>
  <c r="B776" i="1"/>
  <c r="D776" i="1"/>
  <c r="E776" i="1"/>
  <c r="F776" i="1"/>
  <c r="G776" i="1"/>
  <c r="H776" i="1"/>
  <c r="I776" i="1"/>
  <c r="J776" i="1"/>
  <c r="K776" i="1"/>
  <c r="L776" i="1"/>
  <c r="M776" i="1"/>
  <c r="O776" i="1"/>
  <c r="P776" i="1"/>
  <c r="A777" i="1"/>
  <c r="B777" i="1"/>
  <c r="D777" i="1"/>
  <c r="E777" i="1"/>
  <c r="F777" i="1"/>
  <c r="G777" i="1"/>
  <c r="H777" i="1"/>
  <c r="I777" i="1"/>
  <c r="J777" i="1"/>
  <c r="K777" i="1"/>
  <c r="L777" i="1"/>
  <c r="M777" i="1"/>
  <c r="O777" i="1"/>
  <c r="P777" i="1"/>
  <c r="A778" i="1"/>
  <c r="B778" i="1"/>
  <c r="D778" i="1"/>
  <c r="E778" i="1"/>
  <c r="F778" i="1"/>
  <c r="G778" i="1"/>
  <c r="H778" i="1"/>
  <c r="I778" i="1"/>
  <c r="J778" i="1"/>
  <c r="K778" i="1"/>
  <c r="L778" i="1"/>
  <c r="M778" i="1"/>
  <c r="O778" i="1"/>
  <c r="P778" i="1"/>
  <c r="A779" i="1"/>
  <c r="B779" i="1"/>
  <c r="D779" i="1"/>
  <c r="E779" i="1"/>
  <c r="F779" i="1"/>
  <c r="G779" i="1"/>
  <c r="H779" i="1"/>
  <c r="I779" i="1"/>
  <c r="J779" i="1"/>
  <c r="K779" i="1"/>
  <c r="L779" i="1"/>
  <c r="M779" i="1"/>
  <c r="O779" i="1"/>
  <c r="P779" i="1"/>
  <c r="A780" i="1"/>
  <c r="B780" i="1"/>
  <c r="D780" i="1"/>
  <c r="E780" i="1"/>
  <c r="F780" i="1"/>
  <c r="G780" i="1"/>
  <c r="H780" i="1"/>
  <c r="I780" i="1"/>
  <c r="J780" i="1"/>
  <c r="K780" i="1"/>
  <c r="L780" i="1"/>
  <c r="M780" i="1"/>
  <c r="O780" i="1"/>
  <c r="P780" i="1"/>
  <c r="A781" i="1"/>
  <c r="B781" i="1"/>
  <c r="D781" i="1"/>
  <c r="E781" i="1"/>
  <c r="F781" i="1"/>
  <c r="G781" i="1"/>
  <c r="H781" i="1"/>
  <c r="I781" i="1"/>
  <c r="J781" i="1"/>
  <c r="K781" i="1"/>
  <c r="L781" i="1"/>
  <c r="M781" i="1"/>
  <c r="O781" i="1"/>
  <c r="P781" i="1"/>
  <c r="A782" i="1"/>
  <c r="B782" i="1"/>
  <c r="D782" i="1"/>
  <c r="E782" i="1"/>
  <c r="F782" i="1"/>
  <c r="G782" i="1"/>
  <c r="H782" i="1"/>
  <c r="I782" i="1"/>
  <c r="J782" i="1"/>
  <c r="K782" i="1"/>
  <c r="L782" i="1"/>
  <c r="M782" i="1"/>
  <c r="O782" i="1"/>
  <c r="P782" i="1"/>
  <c r="A783" i="1"/>
  <c r="B783" i="1"/>
  <c r="D783" i="1"/>
  <c r="E783" i="1"/>
  <c r="F783" i="1"/>
  <c r="G783" i="1"/>
  <c r="H783" i="1"/>
  <c r="I783" i="1"/>
  <c r="J783" i="1"/>
  <c r="K783" i="1"/>
  <c r="L783" i="1"/>
  <c r="M783" i="1"/>
  <c r="O783" i="1"/>
  <c r="P783" i="1"/>
  <c r="A784" i="1"/>
  <c r="B784" i="1"/>
  <c r="D784" i="1"/>
  <c r="E784" i="1"/>
  <c r="F784" i="1"/>
  <c r="G784" i="1"/>
  <c r="H784" i="1"/>
  <c r="I784" i="1"/>
  <c r="J784" i="1"/>
  <c r="K784" i="1"/>
  <c r="L784" i="1"/>
  <c r="M784" i="1"/>
  <c r="O784" i="1"/>
  <c r="P784" i="1"/>
  <c r="A785" i="1"/>
  <c r="B785" i="1"/>
  <c r="D785" i="1"/>
  <c r="E785" i="1"/>
  <c r="F785" i="1"/>
  <c r="G785" i="1"/>
  <c r="H785" i="1"/>
  <c r="I785" i="1"/>
  <c r="J785" i="1"/>
  <c r="K785" i="1"/>
  <c r="L785" i="1"/>
  <c r="M785" i="1"/>
  <c r="O785" i="1"/>
  <c r="P785" i="1"/>
  <c r="A786" i="1"/>
  <c r="B786" i="1"/>
  <c r="D786" i="1"/>
  <c r="E786" i="1"/>
  <c r="F786" i="1"/>
  <c r="G786" i="1"/>
  <c r="H786" i="1"/>
  <c r="I786" i="1"/>
  <c r="J786" i="1"/>
  <c r="K786" i="1"/>
  <c r="L786" i="1"/>
  <c r="M786" i="1"/>
  <c r="O786" i="1"/>
  <c r="P786" i="1"/>
  <c r="A787" i="1"/>
  <c r="B787" i="1"/>
  <c r="D787" i="1"/>
  <c r="E787" i="1"/>
  <c r="F787" i="1"/>
  <c r="G787" i="1"/>
  <c r="H787" i="1"/>
  <c r="I787" i="1"/>
  <c r="J787" i="1"/>
  <c r="K787" i="1"/>
  <c r="L787" i="1"/>
  <c r="M787" i="1"/>
  <c r="O787" i="1"/>
  <c r="P787" i="1"/>
  <c r="A788" i="1"/>
  <c r="B788" i="1"/>
  <c r="D788" i="1"/>
  <c r="E788" i="1"/>
  <c r="F788" i="1"/>
  <c r="G788" i="1"/>
  <c r="H788" i="1"/>
  <c r="I788" i="1"/>
  <c r="J788" i="1"/>
  <c r="K788" i="1"/>
  <c r="L788" i="1"/>
  <c r="M788" i="1"/>
  <c r="O788" i="1"/>
  <c r="P788" i="1"/>
  <c r="A789" i="1"/>
  <c r="B789" i="1"/>
  <c r="D789" i="1"/>
  <c r="E789" i="1"/>
  <c r="F789" i="1"/>
  <c r="G789" i="1"/>
  <c r="H789" i="1"/>
  <c r="I789" i="1"/>
  <c r="J789" i="1"/>
  <c r="K789" i="1"/>
  <c r="L789" i="1"/>
  <c r="M789" i="1"/>
  <c r="O789" i="1"/>
  <c r="P789" i="1"/>
  <c r="A790" i="1"/>
  <c r="B790" i="1"/>
  <c r="D790" i="1"/>
  <c r="E790" i="1"/>
  <c r="F790" i="1"/>
  <c r="G790" i="1"/>
  <c r="H790" i="1"/>
  <c r="I790" i="1"/>
  <c r="J790" i="1"/>
  <c r="K790" i="1"/>
  <c r="L790" i="1"/>
  <c r="M790" i="1"/>
  <c r="O790" i="1"/>
  <c r="P790" i="1"/>
  <c r="A791" i="1"/>
  <c r="B791" i="1"/>
  <c r="D791" i="1"/>
  <c r="E791" i="1"/>
  <c r="F791" i="1"/>
  <c r="G791" i="1"/>
  <c r="H791" i="1"/>
  <c r="I791" i="1"/>
  <c r="J791" i="1"/>
  <c r="K791" i="1"/>
  <c r="L791" i="1"/>
  <c r="M791" i="1"/>
  <c r="O791" i="1"/>
  <c r="P791" i="1"/>
  <c r="A792" i="1"/>
  <c r="B792" i="1"/>
  <c r="D792" i="1"/>
  <c r="E792" i="1"/>
  <c r="F792" i="1"/>
  <c r="G792" i="1"/>
  <c r="H792" i="1"/>
  <c r="I792" i="1"/>
  <c r="J792" i="1"/>
  <c r="K792" i="1"/>
  <c r="L792" i="1"/>
  <c r="M792" i="1"/>
  <c r="O792" i="1"/>
  <c r="P792" i="1"/>
  <c r="A793" i="1"/>
  <c r="B793" i="1"/>
  <c r="D793" i="1"/>
  <c r="E793" i="1"/>
  <c r="F793" i="1"/>
  <c r="G793" i="1"/>
  <c r="H793" i="1"/>
  <c r="I793" i="1"/>
  <c r="J793" i="1"/>
  <c r="K793" i="1"/>
  <c r="L793" i="1"/>
  <c r="M793" i="1"/>
  <c r="O793" i="1"/>
  <c r="P793" i="1"/>
  <c r="A794" i="1"/>
  <c r="B794" i="1"/>
  <c r="D794" i="1"/>
  <c r="E794" i="1"/>
  <c r="F794" i="1"/>
  <c r="G794" i="1"/>
  <c r="H794" i="1"/>
  <c r="I794" i="1"/>
  <c r="J794" i="1"/>
  <c r="K794" i="1"/>
  <c r="L794" i="1"/>
  <c r="M794" i="1"/>
  <c r="O794" i="1"/>
  <c r="P794" i="1"/>
  <c r="A795" i="1"/>
  <c r="B795" i="1"/>
  <c r="D795" i="1"/>
  <c r="E795" i="1"/>
  <c r="F795" i="1"/>
  <c r="G795" i="1"/>
  <c r="H795" i="1"/>
  <c r="I795" i="1"/>
  <c r="J795" i="1"/>
  <c r="K795" i="1"/>
  <c r="L795" i="1"/>
  <c r="M795" i="1"/>
  <c r="O795" i="1"/>
  <c r="P795" i="1"/>
  <c r="A796" i="1"/>
  <c r="B796" i="1"/>
  <c r="D796" i="1"/>
  <c r="E796" i="1"/>
  <c r="F796" i="1"/>
  <c r="G796" i="1"/>
  <c r="H796" i="1"/>
  <c r="I796" i="1"/>
  <c r="J796" i="1"/>
  <c r="K796" i="1"/>
  <c r="L796" i="1"/>
  <c r="M796" i="1"/>
  <c r="O796" i="1"/>
  <c r="P796" i="1"/>
  <c r="A797" i="1"/>
  <c r="B797" i="1"/>
  <c r="D797" i="1"/>
  <c r="E797" i="1"/>
  <c r="F797" i="1"/>
  <c r="G797" i="1"/>
  <c r="H797" i="1"/>
  <c r="I797" i="1"/>
  <c r="J797" i="1"/>
  <c r="K797" i="1"/>
  <c r="L797" i="1"/>
  <c r="M797" i="1"/>
  <c r="O797" i="1"/>
  <c r="P797" i="1"/>
  <c r="A798" i="1"/>
  <c r="B798" i="1"/>
  <c r="D798" i="1"/>
  <c r="E798" i="1"/>
  <c r="F798" i="1"/>
  <c r="G798" i="1"/>
  <c r="H798" i="1"/>
  <c r="I798" i="1"/>
  <c r="J798" i="1"/>
  <c r="K798" i="1"/>
  <c r="L798" i="1"/>
  <c r="M798" i="1"/>
  <c r="O798" i="1"/>
  <c r="P798" i="1"/>
  <c r="A799" i="1"/>
  <c r="B799" i="1"/>
  <c r="D799" i="1"/>
  <c r="E799" i="1"/>
  <c r="F799" i="1"/>
  <c r="G799" i="1"/>
  <c r="H799" i="1"/>
  <c r="I799" i="1"/>
  <c r="J799" i="1"/>
  <c r="K799" i="1"/>
  <c r="L799" i="1"/>
  <c r="M799" i="1"/>
  <c r="O799" i="1"/>
  <c r="P799" i="1"/>
  <c r="A800" i="1"/>
  <c r="B800" i="1"/>
  <c r="D800" i="1"/>
  <c r="E800" i="1"/>
  <c r="F800" i="1"/>
  <c r="G800" i="1"/>
  <c r="H800" i="1"/>
  <c r="I800" i="1"/>
  <c r="J800" i="1"/>
  <c r="K800" i="1"/>
  <c r="L800" i="1"/>
  <c r="M800" i="1"/>
  <c r="O800" i="1"/>
  <c r="P800" i="1"/>
  <c r="A801" i="1"/>
  <c r="B801" i="1"/>
  <c r="D801" i="1"/>
  <c r="E801" i="1"/>
  <c r="F801" i="1"/>
  <c r="G801" i="1"/>
  <c r="H801" i="1"/>
  <c r="I801" i="1"/>
  <c r="J801" i="1"/>
  <c r="K801" i="1"/>
  <c r="L801" i="1"/>
  <c r="M801" i="1"/>
  <c r="O801" i="1"/>
  <c r="P801" i="1"/>
  <c r="A802" i="1"/>
  <c r="B802" i="1"/>
  <c r="D802" i="1"/>
  <c r="E802" i="1"/>
  <c r="F802" i="1"/>
  <c r="G802" i="1"/>
  <c r="H802" i="1"/>
  <c r="I802" i="1"/>
  <c r="J802" i="1"/>
  <c r="K802" i="1"/>
  <c r="L802" i="1"/>
  <c r="M802" i="1"/>
  <c r="O802" i="1"/>
  <c r="P802" i="1"/>
  <c r="A803" i="1"/>
  <c r="B803" i="1"/>
  <c r="D803" i="1"/>
  <c r="E803" i="1"/>
  <c r="F803" i="1"/>
  <c r="G803" i="1"/>
  <c r="H803" i="1"/>
  <c r="I803" i="1"/>
  <c r="J803" i="1"/>
  <c r="K803" i="1"/>
  <c r="L803" i="1"/>
  <c r="M803" i="1"/>
  <c r="O803" i="1"/>
  <c r="P803" i="1"/>
  <c r="A804" i="1"/>
  <c r="B804" i="1"/>
  <c r="D804" i="1"/>
  <c r="E804" i="1"/>
  <c r="F804" i="1"/>
  <c r="G804" i="1"/>
  <c r="H804" i="1"/>
  <c r="I804" i="1"/>
  <c r="J804" i="1"/>
  <c r="K804" i="1"/>
  <c r="L804" i="1"/>
  <c r="M804" i="1"/>
  <c r="O804" i="1"/>
  <c r="P804" i="1"/>
  <c r="A805" i="1"/>
  <c r="B805" i="1"/>
  <c r="D805" i="1"/>
  <c r="E805" i="1"/>
  <c r="F805" i="1"/>
  <c r="G805" i="1"/>
  <c r="H805" i="1"/>
  <c r="I805" i="1"/>
  <c r="J805" i="1"/>
  <c r="K805" i="1"/>
  <c r="L805" i="1"/>
  <c r="M805" i="1"/>
  <c r="O805" i="1"/>
  <c r="P805" i="1"/>
  <c r="A806" i="1"/>
  <c r="B806" i="1"/>
  <c r="D806" i="1"/>
  <c r="E806" i="1"/>
  <c r="F806" i="1"/>
  <c r="G806" i="1"/>
  <c r="H806" i="1"/>
  <c r="I806" i="1"/>
  <c r="J806" i="1"/>
  <c r="K806" i="1"/>
  <c r="L806" i="1"/>
  <c r="M806" i="1"/>
  <c r="O806" i="1"/>
  <c r="P806" i="1"/>
  <c r="A807" i="1"/>
  <c r="B807" i="1"/>
  <c r="D807" i="1"/>
  <c r="E807" i="1"/>
  <c r="F807" i="1"/>
  <c r="G807" i="1"/>
  <c r="H807" i="1"/>
  <c r="I807" i="1"/>
  <c r="J807" i="1"/>
  <c r="K807" i="1"/>
  <c r="L807" i="1"/>
  <c r="M807" i="1"/>
  <c r="O807" i="1"/>
  <c r="P807" i="1"/>
  <c r="A808" i="1"/>
  <c r="B808" i="1"/>
  <c r="D808" i="1"/>
  <c r="E808" i="1"/>
  <c r="F808" i="1"/>
  <c r="G808" i="1"/>
  <c r="H808" i="1"/>
  <c r="I808" i="1"/>
  <c r="J808" i="1"/>
  <c r="K808" i="1"/>
  <c r="L808" i="1"/>
  <c r="M808" i="1"/>
  <c r="O808" i="1"/>
  <c r="P808" i="1"/>
  <c r="A809" i="1"/>
  <c r="B809" i="1"/>
  <c r="D809" i="1"/>
  <c r="E809" i="1"/>
  <c r="F809" i="1"/>
  <c r="G809" i="1"/>
  <c r="H809" i="1"/>
  <c r="I809" i="1"/>
  <c r="J809" i="1"/>
  <c r="K809" i="1"/>
  <c r="L809" i="1"/>
  <c r="M809" i="1"/>
  <c r="O809" i="1"/>
  <c r="P809" i="1"/>
  <c r="A810" i="1"/>
  <c r="B810" i="1"/>
  <c r="D810" i="1"/>
  <c r="E810" i="1"/>
  <c r="F810" i="1"/>
  <c r="G810" i="1"/>
  <c r="H810" i="1"/>
  <c r="I810" i="1"/>
  <c r="J810" i="1"/>
  <c r="K810" i="1"/>
  <c r="L810" i="1"/>
  <c r="M810" i="1"/>
  <c r="O810" i="1"/>
  <c r="P810" i="1"/>
  <c r="A811" i="1"/>
  <c r="B811" i="1"/>
  <c r="D811" i="1"/>
  <c r="E811" i="1"/>
  <c r="F811" i="1"/>
  <c r="G811" i="1"/>
  <c r="H811" i="1"/>
  <c r="I811" i="1"/>
  <c r="J811" i="1"/>
  <c r="K811" i="1"/>
  <c r="L811" i="1"/>
  <c r="M811" i="1"/>
  <c r="O811" i="1"/>
  <c r="P811" i="1"/>
  <c r="A812" i="1"/>
  <c r="B812" i="1"/>
  <c r="D812" i="1"/>
  <c r="E812" i="1"/>
  <c r="F812" i="1"/>
  <c r="G812" i="1"/>
  <c r="H812" i="1"/>
  <c r="I812" i="1"/>
  <c r="J812" i="1"/>
  <c r="K812" i="1"/>
  <c r="L812" i="1"/>
  <c r="M812" i="1"/>
  <c r="O812" i="1"/>
  <c r="P812" i="1"/>
  <c r="A813" i="1"/>
  <c r="B813" i="1"/>
  <c r="D813" i="1"/>
  <c r="E813" i="1"/>
  <c r="F813" i="1"/>
  <c r="G813" i="1"/>
  <c r="H813" i="1"/>
  <c r="I813" i="1"/>
  <c r="J813" i="1"/>
  <c r="K813" i="1"/>
  <c r="L813" i="1"/>
  <c r="M813" i="1"/>
  <c r="O813" i="1"/>
  <c r="P813" i="1"/>
  <c r="A814" i="1"/>
  <c r="B814" i="1"/>
  <c r="D814" i="1"/>
  <c r="E814" i="1"/>
  <c r="F814" i="1"/>
  <c r="G814" i="1"/>
  <c r="H814" i="1"/>
  <c r="I814" i="1"/>
  <c r="J814" i="1"/>
  <c r="K814" i="1"/>
  <c r="L814" i="1"/>
  <c r="M814" i="1"/>
  <c r="O814" i="1"/>
  <c r="P814" i="1"/>
  <c r="A815" i="1"/>
  <c r="B815" i="1"/>
  <c r="D815" i="1"/>
  <c r="E815" i="1"/>
  <c r="F815" i="1"/>
  <c r="G815" i="1"/>
  <c r="H815" i="1"/>
  <c r="I815" i="1"/>
  <c r="J815" i="1"/>
  <c r="K815" i="1"/>
  <c r="L815" i="1"/>
  <c r="M815" i="1"/>
  <c r="O815" i="1"/>
  <c r="P815" i="1"/>
  <c r="A816" i="1"/>
  <c r="B816" i="1"/>
  <c r="D816" i="1"/>
  <c r="E816" i="1"/>
  <c r="F816" i="1"/>
  <c r="G816" i="1"/>
  <c r="H816" i="1"/>
  <c r="I816" i="1"/>
  <c r="J816" i="1"/>
  <c r="K816" i="1"/>
  <c r="L816" i="1"/>
  <c r="M816" i="1"/>
  <c r="O816" i="1"/>
  <c r="P816" i="1"/>
  <c r="A817" i="1"/>
  <c r="B817" i="1"/>
  <c r="D817" i="1"/>
  <c r="E817" i="1"/>
  <c r="F817" i="1"/>
  <c r="G817" i="1"/>
  <c r="H817" i="1"/>
  <c r="I817" i="1"/>
  <c r="J817" i="1"/>
  <c r="K817" i="1"/>
  <c r="L817" i="1"/>
  <c r="M817" i="1"/>
  <c r="O817" i="1"/>
  <c r="P817" i="1"/>
  <c r="A818" i="1"/>
  <c r="B818" i="1"/>
  <c r="D818" i="1"/>
  <c r="E818" i="1"/>
  <c r="F818" i="1"/>
  <c r="G818" i="1"/>
  <c r="H818" i="1"/>
  <c r="I818" i="1"/>
  <c r="J818" i="1"/>
  <c r="K818" i="1"/>
  <c r="L818" i="1"/>
  <c r="M818" i="1"/>
  <c r="O818" i="1"/>
  <c r="P818" i="1"/>
  <c r="A819" i="1"/>
  <c r="B819" i="1"/>
  <c r="D819" i="1"/>
  <c r="E819" i="1"/>
  <c r="F819" i="1"/>
  <c r="G819" i="1"/>
  <c r="H819" i="1"/>
  <c r="I819" i="1"/>
  <c r="J819" i="1"/>
  <c r="K819" i="1"/>
  <c r="L819" i="1"/>
  <c r="M819" i="1"/>
  <c r="O819" i="1"/>
  <c r="P819" i="1"/>
  <c r="A820" i="1"/>
  <c r="B820" i="1"/>
  <c r="D820" i="1"/>
  <c r="E820" i="1"/>
  <c r="F820" i="1"/>
  <c r="G820" i="1"/>
  <c r="H820" i="1"/>
  <c r="I820" i="1"/>
  <c r="J820" i="1"/>
  <c r="K820" i="1"/>
  <c r="L820" i="1"/>
  <c r="M820" i="1"/>
  <c r="O820" i="1"/>
  <c r="P820" i="1"/>
  <c r="A821" i="1"/>
  <c r="B821" i="1"/>
  <c r="D821" i="1"/>
  <c r="E821" i="1"/>
  <c r="F821" i="1"/>
  <c r="G821" i="1"/>
  <c r="H821" i="1"/>
  <c r="I821" i="1"/>
  <c r="J821" i="1"/>
  <c r="K821" i="1"/>
  <c r="L821" i="1"/>
  <c r="M821" i="1"/>
  <c r="O821" i="1"/>
  <c r="P821" i="1"/>
  <c r="A822" i="1"/>
  <c r="B822" i="1"/>
  <c r="D822" i="1"/>
  <c r="E822" i="1"/>
  <c r="F822" i="1"/>
  <c r="G822" i="1"/>
  <c r="H822" i="1"/>
  <c r="I822" i="1"/>
  <c r="J822" i="1"/>
  <c r="K822" i="1"/>
  <c r="L822" i="1"/>
  <c r="M822" i="1"/>
  <c r="O822" i="1"/>
  <c r="P822" i="1"/>
  <c r="A823" i="1"/>
  <c r="B823" i="1"/>
  <c r="D823" i="1"/>
  <c r="E823" i="1"/>
  <c r="F823" i="1"/>
  <c r="G823" i="1"/>
  <c r="H823" i="1"/>
  <c r="I823" i="1"/>
  <c r="J823" i="1"/>
  <c r="K823" i="1"/>
  <c r="L823" i="1"/>
  <c r="M823" i="1"/>
  <c r="O823" i="1"/>
  <c r="P823" i="1"/>
  <c r="A824" i="1"/>
  <c r="B824" i="1"/>
  <c r="D824" i="1"/>
  <c r="E824" i="1"/>
  <c r="F824" i="1"/>
  <c r="G824" i="1"/>
  <c r="H824" i="1"/>
  <c r="I824" i="1"/>
  <c r="J824" i="1"/>
  <c r="K824" i="1"/>
  <c r="L824" i="1"/>
  <c r="M824" i="1"/>
  <c r="O824" i="1"/>
  <c r="P824" i="1"/>
  <c r="A825" i="1"/>
  <c r="B825" i="1"/>
  <c r="D825" i="1"/>
  <c r="E825" i="1"/>
  <c r="F825" i="1"/>
  <c r="G825" i="1"/>
  <c r="H825" i="1"/>
  <c r="I825" i="1"/>
  <c r="J825" i="1"/>
  <c r="K825" i="1"/>
  <c r="L825" i="1"/>
  <c r="M825" i="1"/>
  <c r="O825" i="1"/>
  <c r="P825" i="1"/>
  <c r="A826" i="1"/>
  <c r="B826" i="1"/>
  <c r="D826" i="1"/>
  <c r="E826" i="1"/>
  <c r="F826" i="1"/>
  <c r="G826" i="1"/>
  <c r="H826" i="1"/>
  <c r="I826" i="1"/>
  <c r="J826" i="1"/>
  <c r="K826" i="1"/>
  <c r="L826" i="1"/>
  <c r="M826" i="1"/>
  <c r="O826" i="1"/>
  <c r="P826" i="1"/>
  <c r="A827" i="1"/>
  <c r="B827" i="1"/>
  <c r="D827" i="1"/>
  <c r="E827" i="1"/>
  <c r="F827" i="1"/>
  <c r="G827" i="1"/>
  <c r="H827" i="1"/>
  <c r="I827" i="1"/>
  <c r="J827" i="1"/>
  <c r="K827" i="1"/>
  <c r="L827" i="1"/>
  <c r="M827" i="1"/>
  <c r="O827" i="1"/>
  <c r="P827" i="1"/>
  <c r="A828" i="1"/>
  <c r="B828" i="1"/>
  <c r="D828" i="1"/>
  <c r="E828" i="1"/>
  <c r="F828" i="1"/>
  <c r="G828" i="1"/>
  <c r="H828" i="1"/>
  <c r="I828" i="1"/>
  <c r="J828" i="1"/>
  <c r="K828" i="1"/>
  <c r="L828" i="1"/>
  <c r="M828" i="1"/>
  <c r="O828" i="1"/>
  <c r="P828" i="1"/>
  <c r="A829" i="1"/>
  <c r="B829" i="1"/>
  <c r="D829" i="1"/>
  <c r="E829" i="1"/>
  <c r="F829" i="1"/>
  <c r="G829" i="1"/>
  <c r="H829" i="1"/>
  <c r="I829" i="1"/>
  <c r="J829" i="1"/>
  <c r="K829" i="1"/>
  <c r="L829" i="1"/>
  <c r="M829" i="1"/>
  <c r="O829" i="1"/>
  <c r="P829" i="1"/>
  <c r="A830" i="1"/>
  <c r="B830" i="1"/>
  <c r="D830" i="1"/>
  <c r="E830" i="1"/>
  <c r="F830" i="1"/>
  <c r="G830" i="1"/>
  <c r="H830" i="1"/>
  <c r="I830" i="1"/>
  <c r="J830" i="1"/>
  <c r="K830" i="1"/>
  <c r="L830" i="1"/>
  <c r="M830" i="1"/>
  <c r="O830" i="1"/>
  <c r="P830" i="1"/>
  <c r="A831" i="1"/>
  <c r="B831" i="1"/>
  <c r="D831" i="1"/>
  <c r="E831" i="1"/>
  <c r="F831" i="1"/>
  <c r="G831" i="1"/>
  <c r="H831" i="1"/>
  <c r="I831" i="1"/>
  <c r="J831" i="1"/>
  <c r="K831" i="1"/>
  <c r="L831" i="1"/>
  <c r="M831" i="1"/>
  <c r="O831" i="1"/>
  <c r="P831" i="1"/>
  <c r="A832" i="1"/>
  <c r="B832" i="1"/>
  <c r="D832" i="1"/>
  <c r="E832" i="1"/>
  <c r="F832" i="1"/>
  <c r="G832" i="1"/>
  <c r="H832" i="1"/>
  <c r="I832" i="1"/>
  <c r="J832" i="1"/>
  <c r="K832" i="1"/>
  <c r="L832" i="1"/>
  <c r="M832" i="1"/>
  <c r="O832" i="1"/>
  <c r="P832" i="1"/>
  <c r="A833" i="1"/>
  <c r="B833" i="1"/>
  <c r="D833" i="1"/>
  <c r="E833" i="1"/>
  <c r="F833" i="1"/>
  <c r="G833" i="1"/>
  <c r="H833" i="1"/>
  <c r="I833" i="1"/>
  <c r="J833" i="1"/>
  <c r="K833" i="1"/>
  <c r="L833" i="1"/>
  <c r="M833" i="1"/>
  <c r="O833" i="1"/>
  <c r="P833" i="1"/>
  <c r="A834" i="1"/>
  <c r="B834" i="1"/>
  <c r="D834" i="1"/>
  <c r="E834" i="1"/>
  <c r="F834" i="1"/>
  <c r="G834" i="1"/>
  <c r="H834" i="1"/>
  <c r="I834" i="1"/>
  <c r="J834" i="1"/>
  <c r="K834" i="1"/>
  <c r="L834" i="1"/>
  <c r="M834" i="1"/>
  <c r="O834" i="1"/>
  <c r="P834" i="1"/>
  <c r="A835" i="1"/>
  <c r="B835" i="1"/>
  <c r="D835" i="1"/>
  <c r="E835" i="1"/>
  <c r="F835" i="1"/>
  <c r="G835" i="1"/>
  <c r="H835" i="1"/>
  <c r="I835" i="1"/>
  <c r="J835" i="1"/>
  <c r="K835" i="1"/>
  <c r="L835" i="1"/>
  <c r="M835" i="1"/>
  <c r="O835" i="1"/>
  <c r="P835" i="1"/>
  <c r="A836" i="1"/>
  <c r="B836" i="1"/>
  <c r="D836" i="1"/>
  <c r="E836" i="1"/>
  <c r="F836" i="1"/>
  <c r="G836" i="1"/>
  <c r="H836" i="1"/>
  <c r="I836" i="1"/>
  <c r="J836" i="1"/>
  <c r="K836" i="1"/>
  <c r="L836" i="1"/>
  <c r="M836" i="1"/>
  <c r="O836" i="1"/>
  <c r="P836" i="1"/>
  <c r="A837" i="1"/>
  <c r="B837" i="1"/>
  <c r="D837" i="1"/>
  <c r="E837" i="1"/>
  <c r="F837" i="1"/>
  <c r="G837" i="1"/>
  <c r="H837" i="1"/>
  <c r="I837" i="1"/>
  <c r="J837" i="1"/>
  <c r="K837" i="1"/>
  <c r="L837" i="1"/>
  <c r="M837" i="1"/>
  <c r="O837" i="1"/>
  <c r="P837" i="1"/>
  <c r="A838" i="1"/>
  <c r="B838" i="1"/>
  <c r="D838" i="1"/>
  <c r="E838" i="1"/>
  <c r="F838" i="1"/>
  <c r="G838" i="1"/>
  <c r="H838" i="1"/>
  <c r="I838" i="1"/>
  <c r="J838" i="1"/>
  <c r="K838" i="1"/>
  <c r="L838" i="1"/>
  <c r="M838" i="1"/>
  <c r="O838" i="1"/>
  <c r="P838" i="1"/>
  <c r="A839" i="1"/>
  <c r="B839" i="1"/>
  <c r="D839" i="1"/>
  <c r="E839" i="1"/>
  <c r="F839" i="1"/>
  <c r="G839" i="1"/>
  <c r="H839" i="1"/>
  <c r="I839" i="1"/>
  <c r="J839" i="1"/>
  <c r="K839" i="1"/>
  <c r="L839" i="1"/>
  <c r="M839" i="1"/>
  <c r="O839" i="1"/>
  <c r="P839" i="1"/>
  <c r="A840" i="1"/>
  <c r="B840" i="1"/>
  <c r="D840" i="1"/>
  <c r="E840" i="1"/>
  <c r="F840" i="1"/>
  <c r="G840" i="1"/>
  <c r="H840" i="1"/>
  <c r="I840" i="1"/>
  <c r="J840" i="1"/>
  <c r="K840" i="1"/>
  <c r="L840" i="1"/>
  <c r="M840" i="1"/>
  <c r="O840" i="1"/>
  <c r="P840" i="1"/>
  <c r="A841" i="1"/>
  <c r="B841" i="1"/>
  <c r="D841" i="1"/>
  <c r="E841" i="1"/>
  <c r="F841" i="1"/>
  <c r="G841" i="1"/>
  <c r="H841" i="1"/>
  <c r="I841" i="1"/>
  <c r="J841" i="1"/>
  <c r="K841" i="1"/>
  <c r="L841" i="1"/>
  <c r="M841" i="1"/>
  <c r="O841" i="1"/>
  <c r="P841" i="1"/>
  <c r="A842" i="1"/>
  <c r="B842" i="1"/>
  <c r="D842" i="1"/>
  <c r="E842" i="1"/>
  <c r="F842" i="1"/>
  <c r="G842" i="1"/>
  <c r="H842" i="1"/>
  <c r="I842" i="1"/>
  <c r="J842" i="1"/>
  <c r="K842" i="1"/>
  <c r="L842" i="1"/>
  <c r="M842" i="1"/>
  <c r="O842" i="1"/>
  <c r="P842" i="1"/>
  <c r="A843" i="1"/>
  <c r="B843" i="1"/>
  <c r="D843" i="1"/>
  <c r="E843" i="1"/>
  <c r="F843" i="1"/>
  <c r="G843" i="1"/>
  <c r="H843" i="1"/>
  <c r="I843" i="1"/>
  <c r="J843" i="1"/>
  <c r="K843" i="1"/>
  <c r="L843" i="1"/>
  <c r="M843" i="1"/>
  <c r="O843" i="1"/>
  <c r="P843" i="1"/>
  <c r="A844" i="1"/>
  <c r="B844" i="1"/>
  <c r="D844" i="1"/>
  <c r="E844" i="1"/>
  <c r="F844" i="1"/>
  <c r="G844" i="1"/>
  <c r="H844" i="1"/>
  <c r="I844" i="1"/>
  <c r="J844" i="1"/>
  <c r="K844" i="1"/>
  <c r="L844" i="1"/>
  <c r="M844" i="1"/>
  <c r="O844" i="1"/>
  <c r="P844" i="1"/>
  <c r="A845" i="1"/>
  <c r="B845" i="1"/>
  <c r="D845" i="1"/>
  <c r="E845" i="1"/>
  <c r="F845" i="1"/>
  <c r="G845" i="1"/>
  <c r="H845" i="1"/>
  <c r="I845" i="1"/>
  <c r="J845" i="1"/>
  <c r="K845" i="1"/>
  <c r="L845" i="1"/>
  <c r="M845" i="1"/>
  <c r="O845" i="1"/>
  <c r="P845" i="1"/>
  <c r="A846" i="1"/>
  <c r="B846" i="1"/>
  <c r="D846" i="1"/>
  <c r="E846" i="1"/>
  <c r="F846" i="1"/>
  <c r="G846" i="1"/>
  <c r="H846" i="1"/>
  <c r="I846" i="1"/>
  <c r="J846" i="1"/>
  <c r="K846" i="1"/>
  <c r="L846" i="1"/>
  <c r="M846" i="1"/>
  <c r="O846" i="1"/>
  <c r="P846" i="1"/>
  <c r="A847" i="1"/>
  <c r="B847" i="1"/>
  <c r="D847" i="1"/>
  <c r="E847" i="1"/>
  <c r="F847" i="1"/>
  <c r="G847" i="1"/>
  <c r="H847" i="1"/>
  <c r="I847" i="1"/>
  <c r="J847" i="1"/>
  <c r="K847" i="1"/>
  <c r="L847" i="1"/>
  <c r="M847" i="1"/>
  <c r="O847" i="1"/>
  <c r="P847" i="1"/>
  <c r="A848" i="1"/>
  <c r="B848" i="1"/>
  <c r="D848" i="1"/>
  <c r="E848" i="1"/>
  <c r="F848" i="1"/>
  <c r="G848" i="1"/>
  <c r="H848" i="1"/>
  <c r="I848" i="1"/>
  <c r="J848" i="1"/>
  <c r="K848" i="1"/>
  <c r="L848" i="1"/>
  <c r="M848" i="1"/>
  <c r="O848" i="1"/>
  <c r="P848" i="1"/>
  <c r="A849" i="1"/>
  <c r="B849" i="1"/>
  <c r="D849" i="1"/>
  <c r="E849" i="1"/>
  <c r="F849" i="1"/>
  <c r="G849" i="1"/>
  <c r="H849" i="1"/>
  <c r="I849" i="1"/>
  <c r="J849" i="1"/>
  <c r="K849" i="1"/>
  <c r="L849" i="1"/>
  <c r="M849" i="1"/>
  <c r="O849" i="1"/>
  <c r="P849" i="1"/>
  <c r="A850" i="1"/>
  <c r="B850" i="1"/>
  <c r="D850" i="1"/>
  <c r="E850" i="1"/>
  <c r="F850" i="1"/>
  <c r="G850" i="1"/>
  <c r="H850" i="1"/>
  <c r="I850" i="1"/>
  <c r="J850" i="1"/>
  <c r="K850" i="1"/>
  <c r="L850" i="1"/>
  <c r="M850" i="1"/>
  <c r="O850" i="1"/>
  <c r="P850" i="1"/>
  <c r="A851" i="1"/>
  <c r="B851" i="1"/>
  <c r="D851" i="1"/>
  <c r="E851" i="1"/>
  <c r="F851" i="1"/>
  <c r="G851" i="1"/>
  <c r="H851" i="1"/>
  <c r="I851" i="1"/>
  <c r="J851" i="1"/>
  <c r="K851" i="1"/>
  <c r="L851" i="1"/>
  <c r="M851" i="1"/>
  <c r="O851" i="1"/>
  <c r="P851" i="1"/>
  <c r="A852" i="1"/>
  <c r="B852" i="1"/>
  <c r="D852" i="1"/>
  <c r="E852" i="1"/>
  <c r="F852" i="1"/>
  <c r="G852" i="1"/>
  <c r="H852" i="1"/>
  <c r="I852" i="1"/>
  <c r="J852" i="1"/>
  <c r="K852" i="1"/>
  <c r="L852" i="1"/>
  <c r="M852" i="1"/>
  <c r="O852" i="1"/>
  <c r="P852" i="1"/>
  <c r="A853" i="1"/>
  <c r="B853" i="1"/>
  <c r="D853" i="1"/>
  <c r="E853" i="1"/>
  <c r="F853" i="1"/>
  <c r="G853" i="1"/>
  <c r="H853" i="1"/>
  <c r="I853" i="1"/>
  <c r="J853" i="1"/>
  <c r="K853" i="1"/>
  <c r="L853" i="1"/>
  <c r="M853" i="1"/>
  <c r="O853" i="1"/>
  <c r="P853" i="1"/>
  <c r="A854" i="1"/>
  <c r="B854" i="1"/>
  <c r="D854" i="1"/>
  <c r="E854" i="1"/>
  <c r="F854" i="1"/>
  <c r="G854" i="1"/>
  <c r="H854" i="1"/>
  <c r="I854" i="1"/>
  <c r="J854" i="1"/>
  <c r="K854" i="1"/>
  <c r="L854" i="1"/>
  <c r="M854" i="1"/>
  <c r="O854" i="1"/>
  <c r="P854" i="1"/>
  <c r="A855" i="1"/>
  <c r="B855" i="1"/>
  <c r="D855" i="1"/>
  <c r="E855" i="1"/>
  <c r="F855" i="1"/>
  <c r="G855" i="1"/>
  <c r="H855" i="1"/>
  <c r="I855" i="1"/>
  <c r="J855" i="1"/>
  <c r="K855" i="1"/>
  <c r="L855" i="1"/>
  <c r="M855" i="1"/>
  <c r="O855" i="1"/>
  <c r="P855" i="1"/>
  <c r="A856" i="1"/>
  <c r="B856" i="1"/>
  <c r="D856" i="1"/>
  <c r="E856" i="1"/>
  <c r="F856" i="1"/>
  <c r="G856" i="1"/>
  <c r="H856" i="1"/>
  <c r="I856" i="1"/>
  <c r="J856" i="1"/>
  <c r="K856" i="1"/>
  <c r="L856" i="1"/>
  <c r="M856" i="1"/>
  <c r="O856" i="1"/>
  <c r="P856" i="1"/>
  <c r="A857" i="1"/>
  <c r="B857" i="1"/>
  <c r="D857" i="1"/>
  <c r="E857" i="1"/>
  <c r="F857" i="1"/>
  <c r="G857" i="1"/>
  <c r="H857" i="1"/>
  <c r="I857" i="1"/>
  <c r="J857" i="1"/>
  <c r="K857" i="1"/>
  <c r="L857" i="1"/>
  <c r="M857" i="1"/>
  <c r="O857" i="1"/>
  <c r="P857" i="1"/>
  <c r="A858" i="1"/>
  <c r="B858" i="1"/>
  <c r="D858" i="1"/>
  <c r="E858" i="1"/>
  <c r="F858" i="1"/>
  <c r="G858" i="1"/>
  <c r="H858" i="1"/>
  <c r="I858" i="1"/>
  <c r="J858" i="1"/>
  <c r="K858" i="1"/>
  <c r="L858" i="1"/>
  <c r="M858" i="1"/>
  <c r="O858" i="1"/>
  <c r="P858" i="1"/>
  <c r="A859" i="1"/>
  <c r="B859" i="1"/>
  <c r="D859" i="1"/>
  <c r="E859" i="1"/>
  <c r="F859" i="1"/>
  <c r="G859" i="1"/>
  <c r="H859" i="1"/>
  <c r="I859" i="1"/>
  <c r="J859" i="1"/>
  <c r="K859" i="1"/>
  <c r="L859" i="1"/>
  <c r="M859" i="1"/>
  <c r="O859" i="1"/>
  <c r="P859" i="1"/>
  <c r="A860" i="1"/>
  <c r="B860" i="1"/>
  <c r="D860" i="1"/>
  <c r="E860" i="1"/>
  <c r="F860" i="1"/>
  <c r="G860" i="1"/>
  <c r="H860" i="1"/>
  <c r="I860" i="1"/>
  <c r="J860" i="1"/>
  <c r="K860" i="1"/>
  <c r="L860" i="1"/>
  <c r="M860" i="1"/>
  <c r="O860" i="1"/>
  <c r="P860" i="1"/>
  <c r="A861" i="1"/>
  <c r="B861" i="1"/>
  <c r="D861" i="1"/>
  <c r="E861" i="1"/>
  <c r="F861" i="1"/>
  <c r="G861" i="1"/>
  <c r="H861" i="1"/>
  <c r="I861" i="1"/>
  <c r="J861" i="1"/>
  <c r="K861" i="1"/>
  <c r="L861" i="1"/>
  <c r="M861" i="1"/>
  <c r="O861" i="1"/>
  <c r="P861" i="1"/>
  <c r="A862" i="1"/>
  <c r="B862" i="1"/>
  <c r="D862" i="1"/>
  <c r="E862" i="1"/>
  <c r="F862" i="1"/>
  <c r="G862" i="1"/>
  <c r="H862" i="1"/>
  <c r="I862" i="1"/>
  <c r="J862" i="1"/>
  <c r="K862" i="1"/>
  <c r="L862" i="1"/>
  <c r="M862" i="1"/>
  <c r="O862" i="1"/>
  <c r="P862" i="1"/>
  <c r="A863" i="1"/>
  <c r="B863" i="1"/>
  <c r="D863" i="1"/>
  <c r="E863" i="1"/>
  <c r="F863" i="1"/>
  <c r="G863" i="1"/>
  <c r="H863" i="1"/>
  <c r="I863" i="1"/>
  <c r="J863" i="1"/>
  <c r="K863" i="1"/>
  <c r="L863" i="1"/>
  <c r="M863" i="1"/>
  <c r="O863" i="1"/>
  <c r="P863" i="1"/>
  <c r="A864" i="1"/>
  <c r="B864" i="1"/>
  <c r="D864" i="1"/>
  <c r="E864" i="1"/>
  <c r="F864" i="1"/>
  <c r="G864" i="1"/>
  <c r="H864" i="1"/>
  <c r="I864" i="1"/>
  <c r="J864" i="1"/>
  <c r="K864" i="1"/>
  <c r="L864" i="1"/>
  <c r="M864" i="1"/>
  <c r="O864" i="1"/>
  <c r="P864" i="1"/>
  <c r="A865" i="1"/>
  <c r="B865" i="1"/>
  <c r="D865" i="1"/>
  <c r="E865" i="1"/>
  <c r="F865" i="1"/>
  <c r="G865" i="1"/>
  <c r="H865" i="1"/>
  <c r="I865" i="1"/>
  <c r="J865" i="1"/>
  <c r="K865" i="1"/>
  <c r="L865" i="1"/>
  <c r="M865" i="1"/>
  <c r="O865" i="1"/>
  <c r="P865" i="1"/>
  <c r="A866" i="1"/>
  <c r="B866" i="1"/>
  <c r="D866" i="1"/>
  <c r="E866" i="1"/>
  <c r="F866" i="1"/>
  <c r="G866" i="1"/>
  <c r="H866" i="1"/>
  <c r="I866" i="1"/>
  <c r="J866" i="1"/>
  <c r="K866" i="1"/>
  <c r="L866" i="1"/>
  <c r="M866" i="1"/>
  <c r="O866" i="1"/>
  <c r="P866" i="1"/>
  <c r="A867" i="1"/>
  <c r="B867" i="1"/>
  <c r="D867" i="1"/>
  <c r="E867" i="1"/>
  <c r="F867" i="1"/>
  <c r="G867" i="1"/>
  <c r="H867" i="1"/>
  <c r="I867" i="1"/>
  <c r="J867" i="1"/>
  <c r="K867" i="1"/>
  <c r="L867" i="1"/>
  <c r="M867" i="1"/>
  <c r="O867" i="1"/>
  <c r="P867" i="1"/>
  <c r="A868" i="1"/>
  <c r="B868" i="1"/>
  <c r="D868" i="1"/>
  <c r="E868" i="1"/>
  <c r="F868" i="1"/>
  <c r="G868" i="1"/>
  <c r="H868" i="1"/>
  <c r="I868" i="1"/>
  <c r="J868" i="1"/>
  <c r="K868" i="1"/>
  <c r="L868" i="1"/>
  <c r="M868" i="1"/>
  <c r="O868" i="1"/>
  <c r="P868" i="1"/>
  <c r="A869" i="1"/>
  <c r="B869" i="1"/>
  <c r="D869" i="1"/>
  <c r="E869" i="1"/>
  <c r="F869" i="1"/>
  <c r="G869" i="1"/>
  <c r="H869" i="1"/>
  <c r="I869" i="1"/>
  <c r="J869" i="1"/>
  <c r="K869" i="1"/>
  <c r="L869" i="1"/>
  <c r="M869" i="1"/>
  <c r="O869" i="1"/>
  <c r="P869" i="1"/>
  <c r="A870" i="1"/>
  <c r="B870" i="1"/>
  <c r="D870" i="1"/>
  <c r="E870" i="1"/>
  <c r="F870" i="1"/>
  <c r="G870" i="1"/>
  <c r="H870" i="1"/>
  <c r="I870" i="1"/>
  <c r="J870" i="1"/>
  <c r="K870" i="1"/>
  <c r="L870" i="1"/>
  <c r="M870" i="1"/>
  <c r="O870" i="1"/>
  <c r="P870" i="1"/>
  <c r="A871" i="1"/>
  <c r="B871" i="1"/>
  <c r="D871" i="1"/>
  <c r="E871" i="1"/>
  <c r="F871" i="1"/>
  <c r="G871" i="1"/>
  <c r="H871" i="1"/>
  <c r="I871" i="1"/>
  <c r="J871" i="1"/>
  <c r="K871" i="1"/>
  <c r="L871" i="1"/>
  <c r="M871" i="1"/>
  <c r="O871" i="1"/>
  <c r="P871" i="1"/>
  <c r="A872" i="1"/>
  <c r="B872" i="1"/>
  <c r="D872" i="1"/>
  <c r="E872" i="1"/>
  <c r="F872" i="1"/>
  <c r="G872" i="1"/>
  <c r="H872" i="1"/>
  <c r="I872" i="1"/>
  <c r="J872" i="1"/>
  <c r="K872" i="1"/>
  <c r="L872" i="1"/>
  <c r="M872" i="1"/>
  <c r="O872" i="1"/>
  <c r="P872" i="1"/>
  <c r="A873" i="1"/>
  <c r="B873" i="1"/>
  <c r="D873" i="1"/>
  <c r="E873" i="1"/>
  <c r="F873" i="1"/>
  <c r="G873" i="1"/>
  <c r="H873" i="1"/>
  <c r="I873" i="1"/>
  <c r="J873" i="1"/>
  <c r="K873" i="1"/>
  <c r="L873" i="1"/>
  <c r="M873" i="1"/>
  <c r="O873" i="1"/>
  <c r="P873" i="1"/>
  <c r="A874" i="1"/>
  <c r="B874" i="1"/>
  <c r="D874" i="1"/>
  <c r="E874" i="1"/>
  <c r="F874" i="1"/>
  <c r="G874" i="1"/>
  <c r="H874" i="1"/>
  <c r="I874" i="1"/>
  <c r="J874" i="1"/>
  <c r="K874" i="1"/>
  <c r="L874" i="1"/>
  <c r="M874" i="1"/>
  <c r="O874" i="1"/>
  <c r="P874" i="1"/>
  <c r="A875" i="1"/>
  <c r="B875" i="1"/>
  <c r="D875" i="1"/>
  <c r="E875" i="1"/>
  <c r="F875" i="1"/>
  <c r="G875" i="1"/>
  <c r="H875" i="1"/>
  <c r="I875" i="1"/>
  <c r="J875" i="1"/>
  <c r="K875" i="1"/>
  <c r="L875" i="1"/>
  <c r="M875" i="1"/>
  <c r="O875" i="1"/>
  <c r="P875" i="1"/>
  <c r="A876" i="1"/>
  <c r="B876" i="1"/>
  <c r="D876" i="1"/>
  <c r="E876" i="1"/>
  <c r="F876" i="1"/>
  <c r="G876" i="1"/>
  <c r="H876" i="1"/>
  <c r="I876" i="1"/>
  <c r="J876" i="1"/>
  <c r="K876" i="1"/>
  <c r="L876" i="1"/>
  <c r="M876" i="1"/>
  <c r="O876" i="1"/>
  <c r="P876" i="1"/>
  <c r="A877" i="1"/>
  <c r="B877" i="1"/>
  <c r="D877" i="1"/>
  <c r="E877" i="1"/>
  <c r="F877" i="1"/>
  <c r="G877" i="1"/>
  <c r="H877" i="1"/>
  <c r="I877" i="1"/>
  <c r="J877" i="1"/>
  <c r="K877" i="1"/>
  <c r="L877" i="1"/>
  <c r="M877" i="1"/>
  <c r="O877" i="1"/>
  <c r="P877" i="1"/>
  <c r="A878" i="1"/>
  <c r="B878" i="1"/>
  <c r="D878" i="1"/>
  <c r="E878" i="1"/>
  <c r="F878" i="1"/>
  <c r="G878" i="1"/>
  <c r="H878" i="1"/>
  <c r="I878" i="1"/>
  <c r="J878" i="1"/>
  <c r="K878" i="1"/>
  <c r="L878" i="1"/>
  <c r="M878" i="1"/>
  <c r="O878" i="1"/>
  <c r="P878" i="1"/>
  <c r="A879" i="1"/>
  <c r="B879" i="1"/>
  <c r="D879" i="1"/>
  <c r="E879" i="1"/>
  <c r="F879" i="1"/>
  <c r="G879" i="1"/>
  <c r="H879" i="1"/>
  <c r="I879" i="1"/>
  <c r="J879" i="1"/>
  <c r="K879" i="1"/>
  <c r="L879" i="1"/>
  <c r="M879" i="1"/>
  <c r="O879" i="1"/>
  <c r="P879" i="1"/>
  <c r="A880" i="1"/>
  <c r="B880" i="1"/>
  <c r="D880" i="1"/>
  <c r="E880" i="1"/>
  <c r="F880" i="1"/>
  <c r="G880" i="1"/>
  <c r="H880" i="1"/>
  <c r="I880" i="1"/>
  <c r="J880" i="1"/>
  <c r="K880" i="1"/>
  <c r="L880" i="1"/>
  <c r="M880" i="1"/>
  <c r="O880" i="1"/>
  <c r="P880" i="1"/>
  <c r="A881" i="1"/>
  <c r="B881" i="1"/>
  <c r="D881" i="1"/>
  <c r="E881" i="1"/>
  <c r="F881" i="1"/>
  <c r="G881" i="1"/>
  <c r="H881" i="1"/>
  <c r="I881" i="1"/>
  <c r="J881" i="1"/>
  <c r="K881" i="1"/>
  <c r="L881" i="1"/>
  <c r="M881" i="1"/>
  <c r="O881" i="1"/>
  <c r="P881" i="1"/>
  <c r="A882" i="1"/>
  <c r="B882" i="1"/>
  <c r="D882" i="1"/>
  <c r="E882" i="1"/>
  <c r="F882" i="1"/>
  <c r="G882" i="1"/>
  <c r="H882" i="1"/>
  <c r="I882" i="1"/>
  <c r="J882" i="1"/>
  <c r="K882" i="1"/>
  <c r="L882" i="1"/>
  <c r="M882" i="1"/>
  <c r="O882" i="1"/>
  <c r="P882" i="1"/>
  <c r="A883" i="1"/>
  <c r="B883" i="1"/>
  <c r="D883" i="1"/>
  <c r="E883" i="1"/>
  <c r="F883" i="1"/>
  <c r="G883" i="1"/>
  <c r="H883" i="1"/>
  <c r="I883" i="1"/>
  <c r="J883" i="1"/>
  <c r="K883" i="1"/>
  <c r="L883" i="1"/>
  <c r="M883" i="1"/>
  <c r="O883" i="1"/>
  <c r="P883" i="1"/>
  <c r="A884" i="1"/>
  <c r="B884" i="1"/>
  <c r="D884" i="1"/>
  <c r="E884" i="1"/>
  <c r="F884" i="1"/>
  <c r="G884" i="1"/>
  <c r="H884" i="1"/>
  <c r="I884" i="1"/>
  <c r="J884" i="1"/>
  <c r="K884" i="1"/>
  <c r="L884" i="1"/>
  <c r="M884" i="1"/>
  <c r="O884" i="1"/>
  <c r="P884" i="1"/>
  <c r="A885" i="1"/>
  <c r="B885" i="1"/>
  <c r="D885" i="1"/>
  <c r="E885" i="1"/>
  <c r="F885" i="1"/>
  <c r="G885" i="1"/>
  <c r="H885" i="1"/>
  <c r="I885" i="1"/>
  <c r="J885" i="1"/>
  <c r="K885" i="1"/>
  <c r="L885" i="1"/>
  <c r="M885" i="1"/>
  <c r="O885" i="1"/>
  <c r="P885" i="1"/>
  <c r="A886" i="1"/>
  <c r="B886" i="1"/>
  <c r="D886" i="1"/>
  <c r="E886" i="1"/>
  <c r="F886" i="1"/>
  <c r="G886" i="1"/>
  <c r="H886" i="1"/>
  <c r="I886" i="1"/>
  <c r="J886" i="1"/>
  <c r="K886" i="1"/>
  <c r="L886" i="1"/>
  <c r="M886" i="1"/>
  <c r="O886" i="1"/>
  <c r="P886" i="1"/>
  <c r="A887" i="1"/>
  <c r="B887" i="1"/>
  <c r="D887" i="1"/>
  <c r="E887" i="1"/>
  <c r="F887" i="1"/>
  <c r="G887" i="1"/>
  <c r="H887" i="1"/>
  <c r="I887" i="1"/>
  <c r="J887" i="1"/>
  <c r="K887" i="1"/>
  <c r="L887" i="1"/>
  <c r="M887" i="1"/>
  <c r="O887" i="1"/>
  <c r="P887" i="1"/>
  <c r="A888" i="1"/>
  <c r="B888" i="1"/>
  <c r="D888" i="1"/>
  <c r="E888" i="1"/>
  <c r="F888" i="1"/>
  <c r="G888" i="1"/>
  <c r="H888" i="1"/>
  <c r="I888" i="1"/>
  <c r="J888" i="1"/>
  <c r="K888" i="1"/>
  <c r="L888" i="1"/>
  <c r="M888" i="1"/>
  <c r="O888" i="1"/>
  <c r="P888" i="1"/>
  <c r="A889" i="1"/>
  <c r="B889" i="1"/>
  <c r="D889" i="1"/>
  <c r="E889" i="1"/>
  <c r="F889" i="1"/>
  <c r="G889" i="1"/>
  <c r="H889" i="1"/>
  <c r="I889" i="1"/>
  <c r="J889" i="1"/>
  <c r="K889" i="1"/>
  <c r="L889" i="1"/>
  <c r="M889" i="1"/>
  <c r="O889" i="1"/>
  <c r="P889" i="1"/>
  <c r="A890" i="1"/>
  <c r="B890" i="1"/>
  <c r="D890" i="1"/>
  <c r="E890" i="1"/>
  <c r="F890" i="1"/>
  <c r="G890" i="1"/>
  <c r="H890" i="1"/>
  <c r="I890" i="1"/>
  <c r="J890" i="1"/>
  <c r="K890" i="1"/>
  <c r="L890" i="1"/>
  <c r="M890" i="1"/>
  <c r="O890" i="1"/>
  <c r="P890" i="1"/>
  <c r="A891" i="1"/>
  <c r="B891" i="1"/>
  <c r="D891" i="1"/>
  <c r="E891" i="1"/>
  <c r="F891" i="1"/>
  <c r="G891" i="1"/>
  <c r="H891" i="1"/>
  <c r="I891" i="1"/>
  <c r="J891" i="1"/>
  <c r="K891" i="1"/>
  <c r="L891" i="1"/>
  <c r="M891" i="1"/>
  <c r="O891" i="1"/>
  <c r="P891" i="1"/>
  <c r="A892" i="1"/>
  <c r="B892" i="1"/>
  <c r="D892" i="1"/>
  <c r="E892" i="1"/>
  <c r="F892" i="1"/>
  <c r="G892" i="1"/>
  <c r="H892" i="1"/>
  <c r="I892" i="1"/>
  <c r="J892" i="1"/>
  <c r="K892" i="1"/>
  <c r="L892" i="1"/>
  <c r="M892" i="1"/>
  <c r="O892" i="1"/>
  <c r="P892" i="1"/>
  <c r="A893" i="1"/>
  <c r="B893" i="1"/>
  <c r="D893" i="1"/>
  <c r="E893" i="1"/>
  <c r="F893" i="1"/>
  <c r="G893" i="1"/>
  <c r="H893" i="1"/>
  <c r="I893" i="1"/>
  <c r="J893" i="1"/>
  <c r="K893" i="1"/>
  <c r="L893" i="1"/>
  <c r="M893" i="1"/>
  <c r="O893" i="1"/>
  <c r="P893" i="1"/>
  <c r="A894" i="1"/>
  <c r="B894" i="1"/>
  <c r="D894" i="1"/>
  <c r="E894" i="1"/>
  <c r="F894" i="1"/>
  <c r="G894" i="1"/>
  <c r="H894" i="1"/>
  <c r="I894" i="1"/>
  <c r="J894" i="1"/>
  <c r="K894" i="1"/>
  <c r="L894" i="1"/>
  <c r="M894" i="1"/>
  <c r="O894" i="1"/>
  <c r="P894" i="1"/>
  <c r="A895" i="1"/>
  <c r="B895" i="1"/>
  <c r="D895" i="1"/>
  <c r="E895" i="1"/>
  <c r="F895" i="1"/>
  <c r="G895" i="1"/>
  <c r="H895" i="1"/>
  <c r="I895" i="1"/>
  <c r="J895" i="1"/>
  <c r="K895" i="1"/>
  <c r="L895" i="1"/>
  <c r="M895" i="1"/>
  <c r="O895" i="1"/>
  <c r="P895" i="1"/>
  <c r="A896" i="1"/>
  <c r="B896" i="1"/>
  <c r="D896" i="1"/>
  <c r="E896" i="1"/>
  <c r="F896" i="1"/>
  <c r="G896" i="1"/>
  <c r="H896" i="1"/>
  <c r="I896" i="1"/>
  <c r="J896" i="1"/>
  <c r="K896" i="1"/>
  <c r="L896" i="1"/>
  <c r="M896" i="1"/>
  <c r="O896" i="1"/>
  <c r="P896" i="1"/>
  <c r="A897" i="1"/>
  <c r="B897" i="1"/>
  <c r="D897" i="1"/>
  <c r="E897" i="1"/>
  <c r="F897" i="1"/>
  <c r="G897" i="1"/>
  <c r="H897" i="1"/>
  <c r="I897" i="1"/>
  <c r="J897" i="1"/>
  <c r="K897" i="1"/>
  <c r="L897" i="1"/>
  <c r="M897" i="1"/>
  <c r="O897" i="1"/>
  <c r="P897" i="1"/>
  <c r="A898" i="1"/>
  <c r="B898" i="1"/>
  <c r="D898" i="1"/>
  <c r="E898" i="1"/>
  <c r="F898" i="1"/>
  <c r="G898" i="1"/>
  <c r="H898" i="1"/>
  <c r="I898" i="1"/>
  <c r="J898" i="1"/>
  <c r="K898" i="1"/>
  <c r="L898" i="1"/>
  <c r="M898" i="1"/>
  <c r="O898" i="1"/>
  <c r="P898" i="1"/>
  <c r="A899" i="1"/>
  <c r="B899" i="1"/>
  <c r="D899" i="1"/>
  <c r="E899" i="1"/>
  <c r="F899" i="1"/>
  <c r="G899" i="1"/>
  <c r="H899" i="1"/>
  <c r="I899" i="1"/>
  <c r="J899" i="1"/>
  <c r="K899" i="1"/>
  <c r="L899" i="1"/>
  <c r="M899" i="1"/>
  <c r="O899" i="1"/>
  <c r="P899" i="1"/>
  <c r="A900" i="1"/>
  <c r="B900" i="1"/>
  <c r="D900" i="1"/>
  <c r="E900" i="1"/>
  <c r="F900" i="1"/>
  <c r="G900" i="1"/>
  <c r="H900" i="1"/>
  <c r="I900" i="1"/>
  <c r="J900" i="1"/>
  <c r="K900" i="1"/>
  <c r="L900" i="1"/>
  <c r="M900" i="1"/>
  <c r="O900" i="1"/>
  <c r="P900" i="1"/>
  <c r="A901" i="1"/>
  <c r="B901" i="1"/>
  <c r="D901" i="1"/>
  <c r="E901" i="1"/>
  <c r="F901" i="1"/>
  <c r="G901" i="1"/>
  <c r="H901" i="1"/>
  <c r="I901" i="1"/>
  <c r="J901" i="1"/>
  <c r="K901" i="1"/>
  <c r="L901" i="1"/>
  <c r="M901" i="1"/>
  <c r="O901" i="1"/>
  <c r="P901" i="1"/>
  <c r="A902" i="1"/>
  <c r="B902" i="1"/>
  <c r="D902" i="1"/>
  <c r="E902" i="1"/>
  <c r="F902" i="1"/>
  <c r="G902" i="1"/>
  <c r="H902" i="1"/>
  <c r="I902" i="1"/>
  <c r="J902" i="1"/>
  <c r="K902" i="1"/>
  <c r="L902" i="1"/>
  <c r="M902" i="1"/>
  <c r="O902" i="1"/>
  <c r="P902" i="1"/>
  <c r="A903" i="1"/>
  <c r="B903" i="1"/>
  <c r="D903" i="1"/>
  <c r="E903" i="1"/>
  <c r="F903" i="1"/>
  <c r="G903" i="1"/>
  <c r="H903" i="1"/>
  <c r="I903" i="1"/>
  <c r="J903" i="1"/>
  <c r="K903" i="1"/>
  <c r="L903" i="1"/>
  <c r="M903" i="1"/>
  <c r="O903" i="1"/>
  <c r="P903" i="1"/>
  <c r="A904" i="1"/>
  <c r="B904" i="1"/>
  <c r="D904" i="1"/>
  <c r="E904" i="1"/>
  <c r="F904" i="1"/>
  <c r="G904" i="1"/>
  <c r="H904" i="1"/>
  <c r="I904" i="1"/>
  <c r="J904" i="1"/>
  <c r="K904" i="1"/>
  <c r="L904" i="1"/>
  <c r="M904" i="1"/>
  <c r="O904" i="1"/>
  <c r="P904" i="1"/>
  <c r="A905" i="1"/>
  <c r="B905" i="1"/>
  <c r="D905" i="1"/>
  <c r="E905" i="1"/>
  <c r="F905" i="1"/>
  <c r="G905" i="1"/>
  <c r="H905" i="1"/>
  <c r="I905" i="1"/>
  <c r="J905" i="1"/>
  <c r="K905" i="1"/>
  <c r="L905" i="1"/>
  <c r="M905" i="1"/>
  <c r="O905" i="1"/>
  <c r="P905" i="1"/>
  <c r="A906" i="1"/>
  <c r="B906" i="1"/>
  <c r="D906" i="1"/>
  <c r="E906" i="1"/>
  <c r="F906" i="1"/>
  <c r="G906" i="1"/>
  <c r="H906" i="1"/>
  <c r="I906" i="1"/>
  <c r="J906" i="1"/>
  <c r="K906" i="1"/>
  <c r="L906" i="1"/>
  <c r="M906" i="1"/>
  <c r="O906" i="1"/>
  <c r="P906" i="1"/>
  <c r="A907" i="1"/>
  <c r="B907" i="1"/>
  <c r="D907" i="1"/>
  <c r="E907" i="1"/>
  <c r="F907" i="1"/>
  <c r="G907" i="1"/>
  <c r="H907" i="1"/>
  <c r="I907" i="1"/>
  <c r="J907" i="1"/>
  <c r="K907" i="1"/>
  <c r="L907" i="1"/>
  <c r="M907" i="1"/>
  <c r="O907" i="1"/>
  <c r="P907" i="1"/>
  <c r="A908" i="1"/>
  <c r="B908" i="1"/>
  <c r="D908" i="1"/>
  <c r="E908" i="1"/>
  <c r="F908" i="1"/>
  <c r="G908" i="1"/>
  <c r="H908" i="1"/>
  <c r="I908" i="1"/>
  <c r="J908" i="1"/>
  <c r="K908" i="1"/>
  <c r="L908" i="1"/>
  <c r="M908" i="1"/>
  <c r="O908" i="1"/>
  <c r="P908" i="1"/>
  <c r="A909" i="1"/>
  <c r="B909" i="1"/>
  <c r="D909" i="1"/>
  <c r="E909" i="1"/>
  <c r="F909" i="1"/>
  <c r="G909" i="1"/>
  <c r="H909" i="1"/>
  <c r="I909" i="1"/>
  <c r="J909" i="1"/>
  <c r="K909" i="1"/>
  <c r="L909" i="1"/>
  <c r="M909" i="1"/>
  <c r="O909" i="1"/>
  <c r="P909" i="1"/>
  <c r="A910" i="1"/>
  <c r="B910" i="1"/>
  <c r="D910" i="1"/>
  <c r="E910" i="1"/>
  <c r="F910" i="1"/>
  <c r="G910" i="1"/>
  <c r="H910" i="1"/>
  <c r="I910" i="1"/>
  <c r="J910" i="1"/>
  <c r="K910" i="1"/>
  <c r="L910" i="1"/>
  <c r="M910" i="1"/>
  <c r="O910" i="1"/>
  <c r="P910" i="1"/>
  <c r="A911" i="1"/>
  <c r="B911" i="1"/>
  <c r="D911" i="1"/>
  <c r="E911" i="1"/>
  <c r="F911" i="1"/>
  <c r="G911" i="1"/>
  <c r="H911" i="1"/>
  <c r="I911" i="1"/>
  <c r="J911" i="1"/>
  <c r="K911" i="1"/>
  <c r="L911" i="1"/>
  <c r="M911" i="1"/>
  <c r="O911" i="1"/>
  <c r="P911" i="1"/>
  <c r="A912" i="1"/>
  <c r="B912" i="1"/>
  <c r="D912" i="1"/>
  <c r="E912" i="1"/>
  <c r="F912" i="1"/>
  <c r="G912" i="1"/>
  <c r="H912" i="1"/>
  <c r="I912" i="1"/>
  <c r="J912" i="1"/>
  <c r="K912" i="1"/>
  <c r="L912" i="1"/>
  <c r="M912" i="1"/>
  <c r="O912" i="1"/>
  <c r="P912" i="1"/>
  <c r="A913" i="1"/>
  <c r="B913" i="1"/>
  <c r="D913" i="1"/>
  <c r="E913" i="1"/>
  <c r="F913" i="1"/>
  <c r="G913" i="1"/>
  <c r="H913" i="1"/>
  <c r="I913" i="1"/>
  <c r="J913" i="1"/>
  <c r="K913" i="1"/>
  <c r="L913" i="1"/>
  <c r="M913" i="1"/>
  <c r="O913" i="1"/>
  <c r="P913" i="1"/>
  <c r="A914" i="1"/>
  <c r="B914" i="1"/>
  <c r="D914" i="1"/>
  <c r="E914" i="1"/>
  <c r="F914" i="1"/>
  <c r="G914" i="1"/>
  <c r="H914" i="1"/>
  <c r="I914" i="1"/>
  <c r="J914" i="1"/>
  <c r="K914" i="1"/>
  <c r="L914" i="1"/>
  <c r="M914" i="1"/>
  <c r="O914" i="1"/>
  <c r="P914" i="1"/>
  <c r="A915" i="1"/>
  <c r="B915" i="1"/>
  <c r="D915" i="1"/>
  <c r="E915" i="1"/>
  <c r="F915" i="1"/>
  <c r="G915" i="1"/>
  <c r="H915" i="1"/>
  <c r="I915" i="1"/>
  <c r="J915" i="1"/>
  <c r="K915" i="1"/>
  <c r="L915" i="1"/>
  <c r="M915" i="1"/>
  <c r="O915" i="1"/>
  <c r="P915" i="1"/>
  <c r="A916" i="1"/>
  <c r="B916" i="1"/>
  <c r="D916" i="1"/>
  <c r="E916" i="1"/>
  <c r="F916" i="1"/>
  <c r="G916" i="1"/>
  <c r="H916" i="1"/>
  <c r="I916" i="1"/>
  <c r="J916" i="1"/>
  <c r="K916" i="1"/>
  <c r="L916" i="1"/>
  <c r="M916" i="1"/>
  <c r="O916" i="1"/>
  <c r="P916" i="1"/>
  <c r="A917" i="1"/>
  <c r="B917" i="1"/>
  <c r="D917" i="1"/>
  <c r="E917" i="1"/>
  <c r="F917" i="1"/>
  <c r="G917" i="1"/>
  <c r="H917" i="1"/>
  <c r="I917" i="1"/>
  <c r="J917" i="1"/>
  <c r="K917" i="1"/>
  <c r="L917" i="1"/>
  <c r="M917" i="1"/>
  <c r="O917" i="1"/>
  <c r="P917" i="1"/>
  <c r="A918" i="1"/>
  <c r="B918" i="1"/>
  <c r="D918" i="1"/>
  <c r="E918" i="1"/>
  <c r="F918" i="1"/>
  <c r="G918" i="1"/>
  <c r="H918" i="1"/>
  <c r="I918" i="1"/>
  <c r="J918" i="1"/>
  <c r="K918" i="1"/>
  <c r="L918" i="1"/>
  <c r="M918" i="1"/>
  <c r="O918" i="1"/>
  <c r="P918" i="1"/>
  <c r="A919" i="1"/>
  <c r="B919" i="1"/>
  <c r="D919" i="1"/>
  <c r="E919" i="1"/>
  <c r="F919" i="1"/>
  <c r="G919" i="1"/>
  <c r="H919" i="1"/>
  <c r="I919" i="1"/>
  <c r="J919" i="1"/>
  <c r="K919" i="1"/>
  <c r="L919" i="1"/>
  <c r="M919" i="1"/>
  <c r="O919" i="1"/>
  <c r="P919" i="1"/>
  <c r="A920" i="1"/>
  <c r="B920" i="1"/>
  <c r="D920" i="1"/>
  <c r="E920" i="1"/>
  <c r="F920" i="1"/>
  <c r="G920" i="1"/>
  <c r="H920" i="1"/>
  <c r="I920" i="1"/>
  <c r="J920" i="1"/>
  <c r="K920" i="1"/>
  <c r="L920" i="1"/>
  <c r="M920" i="1"/>
  <c r="O920" i="1"/>
  <c r="P920" i="1"/>
  <c r="A921" i="1"/>
  <c r="B921" i="1"/>
  <c r="D921" i="1"/>
  <c r="E921" i="1"/>
  <c r="F921" i="1"/>
  <c r="G921" i="1"/>
  <c r="H921" i="1"/>
  <c r="I921" i="1"/>
  <c r="J921" i="1"/>
  <c r="K921" i="1"/>
  <c r="L921" i="1"/>
  <c r="M921" i="1"/>
  <c r="O921" i="1"/>
  <c r="P921" i="1"/>
  <c r="A922" i="1"/>
  <c r="B922" i="1"/>
  <c r="D922" i="1"/>
  <c r="E922" i="1"/>
  <c r="F922" i="1"/>
  <c r="G922" i="1"/>
  <c r="H922" i="1"/>
  <c r="I922" i="1"/>
  <c r="J922" i="1"/>
  <c r="K922" i="1"/>
  <c r="L922" i="1"/>
  <c r="M922" i="1"/>
  <c r="O922" i="1"/>
  <c r="P922" i="1"/>
  <c r="A923" i="1"/>
  <c r="B923" i="1"/>
  <c r="D923" i="1"/>
  <c r="E923" i="1"/>
  <c r="F923" i="1"/>
  <c r="G923" i="1"/>
  <c r="H923" i="1"/>
  <c r="I923" i="1"/>
  <c r="J923" i="1"/>
  <c r="K923" i="1"/>
  <c r="L923" i="1"/>
  <c r="M923" i="1"/>
  <c r="O923" i="1"/>
  <c r="P923" i="1"/>
  <c r="A924" i="1"/>
  <c r="B924" i="1"/>
  <c r="D924" i="1"/>
  <c r="E924" i="1"/>
  <c r="F924" i="1"/>
  <c r="G924" i="1"/>
  <c r="H924" i="1"/>
  <c r="I924" i="1"/>
  <c r="J924" i="1"/>
  <c r="K924" i="1"/>
  <c r="L924" i="1"/>
  <c r="M924" i="1"/>
  <c r="O924" i="1"/>
  <c r="P924" i="1"/>
  <c r="A925" i="1"/>
  <c r="B925" i="1"/>
  <c r="D925" i="1"/>
  <c r="E925" i="1"/>
  <c r="F925" i="1"/>
  <c r="G925" i="1"/>
  <c r="H925" i="1"/>
  <c r="I925" i="1"/>
  <c r="J925" i="1"/>
  <c r="K925" i="1"/>
  <c r="L925" i="1"/>
  <c r="M925" i="1"/>
  <c r="O925" i="1"/>
  <c r="P925" i="1"/>
  <c r="A926" i="1"/>
  <c r="B926" i="1"/>
  <c r="D926" i="1"/>
  <c r="E926" i="1"/>
  <c r="F926" i="1"/>
  <c r="G926" i="1"/>
  <c r="H926" i="1"/>
  <c r="I926" i="1"/>
  <c r="J926" i="1"/>
  <c r="K926" i="1"/>
  <c r="L926" i="1"/>
  <c r="M926" i="1"/>
  <c r="O926" i="1"/>
  <c r="P926" i="1"/>
  <c r="A927" i="1"/>
  <c r="B927" i="1"/>
  <c r="D927" i="1"/>
  <c r="E927" i="1"/>
  <c r="F927" i="1"/>
  <c r="G927" i="1"/>
  <c r="H927" i="1"/>
  <c r="I927" i="1"/>
  <c r="J927" i="1"/>
  <c r="K927" i="1"/>
  <c r="L927" i="1"/>
  <c r="M927" i="1"/>
  <c r="O927" i="1"/>
  <c r="P927" i="1"/>
  <c r="A928" i="1"/>
  <c r="B928" i="1"/>
  <c r="D928" i="1"/>
  <c r="E928" i="1"/>
  <c r="F928" i="1"/>
  <c r="G928" i="1"/>
  <c r="H928" i="1"/>
  <c r="I928" i="1"/>
  <c r="J928" i="1"/>
  <c r="K928" i="1"/>
  <c r="L928" i="1"/>
  <c r="M928" i="1"/>
  <c r="O928" i="1"/>
  <c r="P928" i="1"/>
  <c r="A929" i="1"/>
  <c r="B929" i="1"/>
  <c r="D929" i="1"/>
  <c r="E929" i="1"/>
  <c r="F929" i="1"/>
  <c r="G929" i="1"/>
  <c r="H929" i="1"/>
  <c r="I929" i="1"/>
  <c r="J929" i="1"/>
  <c r="K929" i="1"/>
  <c r="L929" i="1"/>
  <c r="M929" i="1"/>
  <c r="O929" i="1"/>
  <c r="P929" i="1"/>
  <c r="A930" i="1"/>
  <c r="B930" i="1"/>
  <c r="D930" i="1"/>
  <c r="E930" i="1"/>
  <c r="F930" i="1"/>
  <c r="G930" i="1"/>
  <c r="H930" i="1"/>
  <c r="I930" i="1"/>
  <c r="J930" i="1"/>
  <c r="K930" i="1"/>
  <c r="L930" i="1"/>
  <c r="M930" i="1"/>
  <c r="O930" i="1"/>
  <c r="P930" i="1"/>
  <c r="A931" i="1"/>
  <c r="B931" i="1"/>
  <c r="D931" i="1"/>
  <c r="E931" i="1"/>
  <c r="F931" i="1"/>
  <c r="G931" i="1"/>
  <c r="H931" i="1"/>
  <c r="I931" i="1"/>
  <c r="J931" i="1"/>
  <c r="K931" i="1"/>
  <c r="L931" i="1"/>
  <c r="M931" i="1"/>
  <c r="O931" i="1"/>
  <c r="P931" i="1"/>
  <c r="A932" i="1"/>
  <c r="B932" i="1"/>
  <c r="D932" i="1"/>
  <c r="E932" i="1"/>
  <c r="F932" i="1"/>
  <c r="G932" i="1"/>
  <c r="H932" i="1"/>
  <c r="I932" i="1"/>
  <c r="J932" i="1"/>
  <c r="K932" i="1"/>
  <c r="L932" i="1"/>
  <c r="M932" i="1"/>
  <c r="O932" i="1"/>
  <c r="P932" i="1"/>
  <c r="A933" i="1"/>
  <c r="B933" i="1"/>
  <c r="D933" i="1"/>
  <c r="E933" i="1"/>
  <c r="F933" i="1"/>
  <c r="G933" i="1"/>
  <c r="H933" i="1"/>
  <c r="I933" i="1"/>
  <c r="J933" i="1"/>
  <c r="K933" i="1"/>
  <c r="L933" i="1"/>
  <c r="M933" i="1"/>
  <c r="O933" i="1"/>
  <c r="P933" i="1"/>
  <c r="A934" i="1"/>
  <c r="B934" i="1"/>
  <c r="D934" i="1"/>
  <c r="E934" i="1"/>
  <c r="F934" i="1"/>
  <c r="G934" i="1"/>
  <c r="H934" i="1"/>
  <c r="I934" i="1"/>
  <c r="J934" i="1"/>
  <c r="K934" i="1"/>
  <c r="L934" i="1"/>
  <c r="M934" i="1"/>
  <c r="O934" i="1"/>
  <c r="P934" i="1"/>
  <c r="A935" i="1"/>
  <c r="B935" i="1"/>
  <c r="D935" i="1"/>
  <c r="E935" i="1"/>
  <c r="F935" i="1"/>
  <c r="G935" i="1"/>
  <c r="H935" i="1"/>
  <c r="I935" i="1"/>
  <c r="J935" i="1"/>
  <c r="K935" i="1"/>
  <c r="L935" i="1"/>
  <c r="M935" i="1"/>
  <c r="O935" i="1"/>
  <c r="P935" i="1"/>
  <c r="A936" i="1"/>
  <c r="B936" i="1"/>
  <c r="D936" i="1"/>
  <c r="E936" i="1"/>
  <c r="F936" i="1"/>
  <c r="G936" i="1"/>
  <c r="H936" i="1"/>
  <c r="I936" i="1"/>
  <c r="J936" i="1"/>
  <c r="K936" i="1"/>
  <c r="L936" i="1"/>
  <c r="M936" i="1"/>
  <c r="O936" i="1"/>
  <c r="P936" i="1"/>
  <c r="A937" i="1"/>
  <c r="B937" i="1"/>
  <c r="D937" i="1"/>
  <c r="E937" i="1"/>
  <c r="F937" i="1"/>
  <c r="G937" i="1"/>
  <c r="H937" i="1"/>
  <c r="I937" i="1"/>
  <c r="J937" i="1"/>
  <c r="K937" i="1"/>
  <c r="L937" i="1"/>
  <c r="M937" i="1"/>
  <c r="O937" i="1"/>
  <c r="P937" i="1"/>
  <c r="A938" i="1"/>
  <c r="B938" i="1"/>
  <c r="D938" i="1"/>
  <c r="E938" i="1"/>
  <c r="F938" i="1"/>
  <c r="G938" i="1"/>
  <c r="H938" i="1"/>
  <c r="I938" i="1"/>
  <c r="J938" i="1"/>
  <c r="K938" i="1"/>
  <c r="L938" i="1"/>
  <c r="M938" i="1"/>
  <c r="O938" i="1"/>
  <c r="P938" i="1"/>
  <c r="A939" i="1"/>
  <c r="B939" i="1"/>
  <c r="D939" i="1"/>
  <c r="E939" i="1"/>
  <c r="F939" i="1"/>
  <c r="G939" i="1"/>
  <c r="H939" i="1"/>
  <c r="I939" i="1"/>
  <c r="J939" i="1"/>
  <c r="K939" i="1"/>
  <c r="L939" i="1"/>
  <c r="M939" i="1"/>
  <c r="O939" i="1"/>
  <c r="P939" i="1"/>
  <c r="A940" i="1"/>
  <c r="B940" i="1"/>
  <c r="D940" i="1"/>
  <c r="E940" i="1"/>
  <c r="F940" i="1"/>
  <c r="G940" i="1"/>
  <c r="H940" i="1"/>
  <c r="I940" i="1"/>
  <c r="J940" i="1"/>
  <c r="K940" i="1"/>
  <c r="L940" i="1"/>
  <c r="M940" i="1"/>
  <c r="O940" i="1"/>
  <c r="P940" i="1"/>
  <c r="A941" i="1"/>
  <c r="B941" i="1"/>
  <c r="D941" i="1"/>
  <c r="E941" i="1"/>
  <c r="F941" i="1"/>
  <c r="G941" i="1"/>
  <c r="H941" i="1"/>
  <c r="I941" i="1"/>
  <c r="J941" i="1"/>
  <c r="K941" i="1"/>
  <c r="L941" i="1"/>
  <c r="M941" i="1"/>
  <c r="O941" i="1"/>
  <c r="P941" i="1"/>
  <c r="A942" i="1"/>
  <c r="B942" i="1"/>
  <c r="D942" i="1"/>
  <c r="E942" i="1"/>
  <c r="F942" i="1"/>
  <c r="G942" i="1"/>
  <c r="H942" i="1"/>
  <c r="I942" i="1"/>
  <c r="J942" i="1"/>
  <c r="K942" i="1"/>
  <c r="L942" i="1"/>
  <c r="M942" i="1"/>
  <c r="O942" i="1"/>
  <c r="P942" i="1"/>
  <c r="A943" i="1"/>
  <c r="B943" i="1"/>
  <c r="D943" i="1"/>
  <c r="E943" i="1"/>
  <c r="F943" i="1"/>
  <c r="G943" i="1"/>
  <c r="H943" i="1"/>
  <c r="I943" i="1"/>
  <c r="J943" i="1"/>
  <c r="K943" i="1"/>
  <c r="L943" i="1"/>
  <c r="M943" i="1"/>
  <c r="O943" i="1"/>
  <c r="P943" i="1"/>
  <c r="A944" i="1"/>
  <c r="B944" i="1"/>
  <c r="D944" i="1"/>
  <c r="E944" i="1"/>
  <c r="F944" i="1"/>
  <c r="G944" i="1"/>
  <c r="H944" i="1"/>
  <c r="I944" i="1"/>
  <c r="J944" i="1"/>
  <c r="K944" i="1"/>
  <c r="L944" i="1"/>
  <c r="M944" i="1"/>
  <c r="O944" i="1"/>
  <c r="P944" i="1"/>
  <c r="A945" i="1"/>
  <c r="B945" i="1"/>
  <c r="D945" i="1"/>
  <c r="E945" i="1"/>
  <c r="F945" i="1"/>
  <c r="G945" i="1"/>
  <c r="H945" i="1"/>
  <c r="I945" i="1"/>
  <c r="J945" i="1"/>
  <c r="K945" i="1"/>
  <c r="L945" i="1"/>
  <c r="M945" i="1"/>
  <c r="O945" i="1"/>
  <c r="P945" i="1"/>
  <c r="A946" i="1"/>
  <c r="B946" i="1"/>
  <c r="D946" i="1"/>
  <c r="E946" i="1"/>
  <c r="F946" i="1"/>
  <c r="G946" i="1"/>
  <c r="H946" i="1"/>
  <c r="I946" i="1"/>
  <c r="J946" i="1"/>
  <c r="K946" i="1"/>
  <c r="L946" i="1"/>
  <c r="M946" i="1"/>
  <c r="O946" i="1"/>
  <c r="P946" i="1"/>
  <c r="A947" i="1"/>
  <c r="B947" i="1"/>
  <c r="D947" i="1"/>
  <c r="E947" i="1"/>
  <c r="F947" i="1"/>
  <c r="G947" i="1"/>
  <c r="H947" i="1"/>
  <c r="I947" i="1"/>
  <c r="J947" i="1"/>
  <c r="K947" i="1"/>
  <c r="L947" i="1"/>
  <c r="M947" i="1"/>
  <c r="O947" i="1"/>
  <c r="P947" i="1"/>
  <c r="A948" i="1"/>
  <c r="B948" i="1"/>
  <c r="D948" i="1"/>
  <c r="E948" i="1"/>
  <c r="F948" i="1"/>
  <c r="G948" i="1"/>
  <c r="H948" i="1"/>
  <c r="I948" i="1"/>
  <c r="J948" i="1"/>
  <c r="K948" i="1"/>
  <c r="L948" i="1"/>
  <c r="M948" i="1"/>
  <c r="O948" i="1"/>
  <c r="P948" i="1"/>
  <c r="A949" i="1"/>
  <c r="B949" i="1"/>
  <c r="D949" i="1"/>
  <c r="E949" i="1"/>
  <c r="F949" i="1"/>
  <c r="G949" i="1"/>
  <c r="H949" i="1"/>
  <c r="I949" i="1"/>
  <c r="J949" i="1"/>
  <c r="K949" i="1"/>
  <c r="L949" i="1"/>
  <c r="M949" i="1"/>
  <c r="O949" i="1"/>
  <c r="P949" i="1"/>
  <c r="A950" i="1"/>
  <c r="B950" i="1"/>
  <c r="D950" i="1"/>
  <c r="E950" i="1"/>
  <c r="F950" i="1"/>
  <c r="G950" i="1"/>
  <c r="H950" i="1"/>
  <c r="I950" i="1"/>
  <c r="J950" i="1"/>
  <c r="K950" i="1"/>
  <c r="L950" i="1"/>
  <c r="M950" i="1"/>
  <c r="O950" i="1"/>
  <c r="P950" i="1"/>
  <c r="A951" i="1"/>
  <c r="B951" i="1"/>
  <c r="D951" i="1"/>
  <c r="E951" i="1"/>
  <c r="F951" i="1"/>
  <c r="G951" i="1"/>
  <c r="H951" i="1"/>
  <c r="I951" i="1"/>
  <c r="J951" i="1"/>
  <c r="K951" i="1"/>
  <c r="L951" i="1"/>
  <c r="M951" i="1"/>
  <c r="O951" i="1"/>
  <c r="P951" i="1"/>
  <c r="A952" i="1"/>
  <c r="B952" i="1"/>
  <c r="D952" i="1"/>
  <c r="E952" i="1"/>
  <c r="F952" i="1"/>
  <c r="G952" i="1"/>
  <c r="H952" i="1"/>
  <c r="I952" i="1"/>
  <c r="J952" i="1"/>
  <c r="K952" i="1"/>
  <c r="L952" i="1"/>
  <c r="M952" i="1"/>
  <c r="O952" i="1"/>
  <c r="P952" i="1"/>
  <c r="A953" i="1"/>
  <c r="B953" i="1"/>
  <c r="D953" i="1"/>
  <c r="E953" i="1"/>
  <c r="F953" i="1"/>
  <c r="G953" i="1"/>
  <c r="H953" i="1"/>
  <c r="I953" i="1"/>
  <c r="J953" i="1"/>
  <c r="K953" i="1"/>
  <c r="L953" i="1"/>
  <c r="M953" i="1"/>
  <c r="O953" i="1"/>
  <c r="P953" i="1"/>
  <c r="A954" i="1"/>
  <c r="B954" i="1"/>
  <c r="D954" i="1"/>
  <c r="E954" i="1"/>
  <c r="F954" i="1"/>
  <c r="G954" i="1"/>
  <c r="H954" i="1"/>
  <c r="I954" i="1"/>
  <c r="J954" i="1"/>
  <c r="K954" i="1"/>
  <c r="L954" i="1"/>
  <c r="M954" i="1"/>
  <c r="O954" i="1"/>
  <c r="P954" i="1"/>
  <c r="A955" i="1"/>
  <c r="B955" i="1"/>
  <c r="D955" i="1"/>
  <c r="E955" i="1"/>
  <c r="F955" i="1"/>
  <c r="G955" i="1"/>
  <c r="H955" i="1"/>
  <c r="I955" i="1"/>
  <c r="J955" i="1"/>
  <c r="K955" i="1"/>
  <c r="L955" i="1"/>
  <c r="M955" i="1"/>
  <c r="O955" i="1"/>
  <c r="P955" i="1"/>
  <c r="A956" i="1"/>
  <c r="B956" i="1"/>
  <c r="D956" i="1"/>
  <c r="E956" i="1"/>
  <c r="F956" i="1"/>
  <c r="G956" i="1"/>
  <c r="H956" i="1"/>
  <c r="I956" i="1"/>
  <c r="J956" i="1"/>
  <c r="K956" i="1"/>
  <c r="L956" i="1"/>
  <c r="M956" i="1"/>
  <c r="O956" i="1"/>
  <c r="P956" i="1"/>
  <c r="A957" i="1"/>
  <c r="B957" i="1"/>
  <c r="D957" i="1"/>
  <c r="E957" i="1"/>
  <c r="F957" i="1"/>
  <c r="G957" i="1"/>
  <c r="H957" i="1"/>
  <c r="I957" i="1"/>
  <c r="J957" i="1"/>
  <c r="K957" i="1"/>
  <c r="L957" i="1"/>
  <c r="M957" i="1"/>
  <c r="O957" i="1"/>
  <c r="P957" i="1"/>
  <c r="A958" i="1"/>
  <c r="B958" i="1"/>
  <c r="D958" i="1"/>
  <c r="E958" i="1"/>
  <c r="F958" i="1"/>
  <c r="G958" i="1"/>
  <c r="H958" i="1"/>
  <c r="I958" i="1"/>
  <c r="J958" i="1"/>
  <c r="K958" i="1"/>
  <c r="L958" i="1"/>
  <c r="M958" i="1"/>
  <c r="O958" i="1"/>
  <c r="P958" i="1"/>
  <c r="A959" i="1"/>
  <c r="B959" i="1"/>
  <c r="D959" i="1"/>
  <c r="E959" i="1"/>
  <c r="F959" i="1"/>
  <c r="G959" i="1"/>
  <c r="H959" i="1"/>
  <c r="I959" i="1"/>
  <c r="J959" i="1"/>
  <c r="K959" i="1"/>
  <c r="L959" i="1"/>
  <c r="M959" i="1"/>
  <c r="O959" i="1"/>
  <c r="P959" i="1"/>
  <c r="A960" i="1"/>
  <c r="B960" i="1"/>
  <c r="D960" i="1"/>
  <c r="E960" i="1"/>
  <c r="F960" i="1"/>
  <c r="G960" i="1"/>
  <c r="H960" i="1"/>
  <c r="I960" i="1"/>
  <c r="J960" i="1"/>
  <c r="K960" i="1"/>
  <c r="L960" i="1"/>
  <c r="M960" i="1"/>
  <c r="O960" i="1"/>
  <c r="P960" i="1"/>
  <c r="A961" i="1"/>
  <c r="B961" i="1"/>
  <c r="D961" i="1"/>
  <c r="E961" i="1"/>
  <c r="F961" i="1"/>
  <c r="G961" i="1"/>
  <c r="H961" i="1"/>
  <c r="I961" i="1"/>
  <c r="J961" i="1"/>
  <c r="K961" i="1"/>
  <c r="L961" i="1"/>
  <c r="M961" i="1"/>
  <c r="O961" i="1"/>
  <c r="P961" i="1"/>
  <c r="A962" i="1"/>
  <c r="B962" i="1"/>
  <c r="D962" i="1"/>
  <c r="E962" i="1"/>
  <c r="F962" i="1"/>
  <c r="G962" i="1"/>
  <c r="H962" i="1"/>
  <c r="I962" i="1"/>
  <c r="J962" i="1"/>
  <c r="K962" i="1"/>
  <c r="L962" i="1"/>
  <c r="M962" i="1"/>
  <c r="O962" i="1"/>
  <c r="P962" i="1"/>
  <c r="A963" i="1"/>
  <c r="B963" i="1"/>
  <c r="D963" i="1"/>
  <c r="E963" i="1"/>
  <c r="F963" i="1"/>
  <c r="G963" i="1"/>
  <c r="H963" i="1"/>
  <c r="I963" i="1"/>
  <c r="J963" i="1"/>
  <c r="K963" i="1"/>
  <c r="L963" i="1"/>
  <c r="M963" i="1"/>
  <c r="O963" i="1"/>
  <c r="P963" i="1"/>
  <c r="A964" i="1"/>
  <c r="B964" i="1"/>
  <c r="D964" i="1"/>
  <c r="E964" i="1"/>
  <c r="F964" i="1"/>
  <c r="G964" i="1"/>
  <c r="H964" i="1"/>
  <c r="I964" i="1"/>
  <c r="J964" i="1"/>
  <c r="K964" i="1"/>
  <c r="L964" i="1"/>
  <c r="M964" i="1"/>
  <c r="O964" i="1"/>
  <c r="P964" i="1"/>
  <c r="A965" i="1"/>
  <c r="B965" i="1"/>
  <c r="D965" i="1"/>
  <c r="E965" i="1"/>
  <c r="F965" i="1"/>
  <c r="G965" i="1"/>
  <c r="H965" i="1"/>
  <c r="I965" i="1"/>
  <c r="J965" i="1"/>
  <c r="K965" i="1"/>
  <c r="L965" i="1"/>
  <c r="M965" i="1"/>
  <c r="O965" i="1"/>
  <c r="P965" i="1"/>
  <c r="A966" i="1"/>
  <c r="B966" i="1"/>
  <c r="D966" i="1"/>
  <c r="E966" i="1"/>
  <c r="F966" i="1"/>
  <c r="G966" i="1"/>
  <c r="H966" i="1"/>
  <c r="I966" i="1"/>
  <c r="J966" i="1"/>
  <c r="K966" i="1"/>
  <c r="L966" i="1"/>
  <c r="M966" i="1"/>
  <c r="O966" i="1"/>
  <c r="P966" i="1"/>
  <c r="A967" i="1"/>
  <c r="B967" i="1"/>
  <c r="D967" i="1"/>
  <c r="E967" i="1"/>
  <c r="F967" i="1"/>
  <c r="G967" i="1"/>
  <c r="H967" i="1"/>
  <c r="I967" i="1"/>
  <c r="J967" i="1"/>
  <c r="K967" i="1"/>
  <c r="L967" i="1"/>
  <c r="M967" i="1"/>
  <c r="O967" i="1"/>
  <c r="P967" i="1"/>
  <c r="A968" i="1"/>
  <c r="B968" i="1"/>
  <c r="D968" i="1"/>
  <c r="E968" i="1"/>
  <c r="F968" i="1"/>
  <c r="G968" i="1"/>
  <c r="H968" i="1"/>
  <c r="I968" i="1"/>
  <c r="J968" i="1"/>
  <c r="K968" i="1"/>
  <c r="L968" i="1"/>
  <c r="M968" i="1"/>
  <c r="O968" i="1"/>
  <c r="P968" i="1"/>
  <c r="A969" i="1"/>
  <c r="B969" i="1"/>
  <c r="D969" i="1"/>
  <c r="E969" i="1"/>
  <c r="F969" i="1"/>
  <c r="G969" i="1"/>
  <c r="H969" i="1"/>
  <c r="I969" i="1"/>
  <c r="J969" i="1"/>
  <c r="K969" i="1"/>
  <c r="L969" i="1"/>
  <c r="M969" i="1"/>
  <c r="O969" i="1"/>
  <c r="P969" i="1"/>
  <c r="A970" i="1"/>
  <c r="B970" i="1"/>
  <c r="D970" i="1"/>
  <c r="E970" i="1"/>
  <c r="F970" i="1"/>
  <c r="G970" i="1"/>
  <c r="H970" i="1"/>
  <c r="I970" i="1"/>
  <c r="J970" i="1"/>
  <c r="K970" i="1"/>
  <c r="L970" i="1"/>
  <c r="M970" i="1"/>
  <c r="O970" i="1"/>
  <c r="P970" i="1"/>
  <c r="A971" i="1"/>
  <c r="B971" i="1"/>
  <c r="D971" i="1"/>
  <c r="E971" i="1"/>
  <c r="F971" i="1"/>
  <c r="G971" i="1"/>
  <c r="H971" i="1"/>
  <c r="I971" i="1"/>
  <c r="J971" i="1"/>
  <c r="K971" i="1"/>
  <c r="L971" i="1"/>
  <c r="M971" i="1"/>
  <c r="O971" i="1"/>
  <c r="P971" i="1"/>
  <c r="A972" i="1"/>
  <c r="B972" i="1"/>
  <c r="D972" i="1"/>
  <c r="E972" i="1"/>
  <c r="F972" i="1"/>
  <c r="G972" i="1"/>
  <c r="H972" i="1"/>
  <c r="I972" i="1"/>
  <c r="J972" i="1"/>
  <c r="K972" i="1"/>
  <c r="L972" i="1"/>
  <c r="M972" i="1"/>
  <c r="O972" i="1"/>
  <c r="P972" i="1"/>
  <c r="A973" i="1"/>
  <c r="B973" i="1"/>
  <c r="D973" i="1"/>
  <c r="E973" i="1"/>
  <c r="F973" i="1"/>
  <c r="G973" i="1"/>
  <c r="H973" i="1"/>
  <c r="I973" i="1"/>
  <c r="J973" i="1"/>
  <c r="K973" i="1"/>
  <c r="L973" i="1"/>
  <c r="M973" i="1"/>
  <c r="O973" i="1"/>
  <c r="P973" i="1"/>
  <c r="A974" i="1"/>
  <c r="B974" i="1"/>
  <c r="D974" i="1"/>
  <c r="E974" i="1"/>
  <c r="F974" i="1"/>
  <c r="G974" i="1"/>
  <c r="H974" i="1"/>
  <c r="I974" i="1"/>
  <c r="J974" i="1"/>
  <c r="K974" i="1"/>
  <c r="L974" i="1"/>
  <c r="M974" i="1"/>
  <c r="O974" i="1"/>
  <c r="P974" i="1"/>
  <c r="A975" i="1"/>
  <c r="B975" i="1"/>
  <c r="D975" i="1"/>
  <c r="E975" i="1"/>
  <c r="F975" i="1"/>
  <c r="G975" i="1"/>
  <c r="H975" i="1"/>
  <c r="I975" i="1"/>
  <c r="J975" i="1"/>
  <c r="K975" i="1"/>
  <c r="L975" i="1"/>
  <c r="M975" i="1"/>
  <c r="O975" i="1"/>
  <c r="P975" i="1"/>
  <c r="A976" i="1"/>
  <c r="B976" i="1"/>
  <c r="D976" i="1"/>
  <c r="E976" i="1"/>
  <c r="F976" i="1"/>
  <c r="G976" i="1"/>
  <c r="H976" i="1"/>
  <c r="I976" i="1"/>
  <c r="J976" i="1"/>
  <c r="K976" i="1"/>
  <c r="L976" i="1"/>
  <c r="M976" i="1"/>
  <c r="O976" i="1"/>
  <c r="P976" i="1"/>
  <c r="A977" i="1"/>
  <c r="B977" i="1"/>
  <c r="D977" i="1"/>
  <c r="E977" i="1"/>
  <c r="F977" i="1"/>
  <c r="G977" i="1"/>
  <c r="H977" i="1"/>
  <c r="I977" i="1"/>
  <c r="J977" i="1"/>
  <c r="K977" i="1"/>
  <c r="L977" i="1"/>
  <c r="M977" i="1"/>
  <c r="O977" i="1"/>
  <c r="P977" i="1"/>
  <c r="A978" i="1"/>
  <c r="B978" i="1"/>
  <c r="D978" i="1"/>
  <c r="E978" i="1"/>
  <c r="F978" i="1"/>
  <c r="G978" i="1"/>
  <c r="H978" i="1"/>
  <c r="I978" i="1"/>
  <c r="J978" i="1"/>
  <c r="K978" i="1"/>
  <c r="L978" i="1"/>
  <c r="M978" i="1"/>
  <c r="O978" i="1"/>
  <c r="P978" i="1"/>
  <c r="A979" i="1"/>
  <c r="B979" i="1"/>
  <c r="D979" i="1"/>
  <c r="E979" i="1"/>
  <c r="F979" i="1"/>
  <c r="G979" i="1"/>
  <c r="H979" i="1"/>
  <c r="I979" i="1"/>
  <c r="J979" i="1"/>
  <c r="K979" i="1"/>
  <c r="L979" i="1"/>
  <c r="M979" i="1"/>
  <c r="O979" i="1"/>
  <c r="P979" i="1"/>
  <c r="A980" i="1"/>
  <c r="B980" i="1"/>
  <c r="D980" i="1"/>
  <c r="E980" i="1"/>
  <c r="F980" i="1"/>
  <c r="G980" i="1"/>
  <c r="H980" i="1"/>
  <c r="I980" i="1"/>
  <c r="J980" i="1"/>
  <c r="K980" i="1"/>
  <c r="L980" i="1"/>
  <c r="M980" i="1"/>
  <c r="O980" i="1"/>
  <c r="P980" i="1"/>
  <c r="A981" i="1"/>
  <c r="B981" i="1"/>
  <c r="D981" i="1"/>
  <c r="E981" i="1"/>
  <c r="F981" i="1"/>
  <c r="G981" i="1"/>
  <c r="H981" i="1"/>
  <c r="I981" i="1"/>
  <c r="J981" i="1"/>
  <c r="K981" i="1"/>
  <c r="L981" i="1"/>
  <c r="M981" i="1"/>
  <c r="O981" i="1"/>
  <c r="P981" i="1"/>
  <c r="A982" i="1"/>
  <c r="B982" i="1"/>
  <c r="D982" i="1"/>
  <c r="E982" i="1"/>
  <c r="F982" i="1"/>
  <c r="G982" i="1"/>
  <c r="H982" i="1"/>
  <c r="I982" i="1"/>
  <c r="J982" i="1"/>
  <c r="K982" i="1"/>
  <c r="L982" i="1"/>
  <c r="M982" i="1"/>
  <c r="O982" i="1"/>
  <c r="P982" i="1"/>
  <c r="A983" i="1"/>
  <c r="B983" i="1"/>
  <c r="D983" i="1"/>
  <c r="E983" i="1"/>
  <c r="F983" i="1"/>
  <c r="G983" i="1"/>
  <c r="H983" i="1"/>
  <c r="I983" i="1"/>
  <c r="J983" i="1"/>
  <c r="K983" i="1"/>
  <c r="L983" i="1"/>
  <c r="M983" i="1"/>
  <c r="O983" i="1"/>
  <c r="P983" i="1"/>
  <c r="A984" i="1"/>
  <c r="B984" i="1"/>
  <c r="D984" i="1"/>
  <c r="E984" i="1"/>
  <c r="F984" i="1"/>
  <c r="G984" i="1"/>
  <c r="H984" i="1"/>
  <c r="I984" i="1"/>
  <c r="J984" i="1"/>
  <c r="K984" i="1"/>
  <c r="L984" i="1"/>
  <c r="M984" i="1"/>
  <c r="O984" i="1"/>
  <c r="P984" i="1"/>
  <c r="A985" i="1"/>
  <c r="B985" i="1"/>
  <c r="D985" i="1"/>
  <c r="E985" i="1"/>
  <c r="F985" i="1"/>
  <c r="G985" i="1"/>
  <c r="H985" i="1"/>
  <c r="I985" i="1"/>
  <c r="J985" i="1"/>
  <c r="K985" i="1"/>
  <c r="L985" i="1"/>
  <c r="M985" i="1"/>
  <c r="O985" i="1"/>
  <c r="P985" i="1"/>
  <c r="A986" i="1"/>
  <c r="B986" i="1"/>
  <c r="D986" i="1"/>
  <c r="E986" i="1"/>
  <c r="F986" i="1"/>
  <c r="G986" i="1"/>
  <c r="H986" i="1"/>
  <c r="I986" i="1"/>
  <c r="J986" i="1"/>
  <c r="K986" i="1"/>
  <c r="L986" i="1"/>
  <c r="M986" i="1"/>
  <c r="O986" i="1"/>
  <c r="P986" i="1"/>
  <c r="A987" i="1"/>
  <c r="B987" i="1"/>
  <c r="D987" i="1"/>
  <c r="E987" i="1"/>
  <c r="F987" i="1"/>
  <c r="G987" i="1"/>
  <c r="H987" i="1"/>
  <c r="I987" i="1"/>
  <c r="J987" i="1"/>
  <c r="K987" i="1"/>
  <c r="L987" i="1"/>
  <c r="M987" i="1"/>
  <c r="O987" i="1"/>
  <c r="P987" i="1"/>
  <c r="A988" i="1"/>
  <c r="B988" i="1"/>
  <c r="D988" i="1"/>
  <c r="E988" i="1"/>
  <c r="F988" i="1"/>
  <c r="G988" i="1"/>
  <c r="H988" i="1"/>
  <c r="I988" i="1"/>
  <c r="J988" i="1"/>
  <c r="K988" i="1"/>
  <c r="L988" i="1"/>
  <c r="M988" i="1"/>
  <c r="O988" i="1"/>
  <c r="P988" i="1"/>
  <c r="A989" i="1"/>
  <c r="B989" i="1"/>
  <c r="D989" i="1"/>
  <c r="E989" i="1"/>
  <c r="F989" i="1"/>
  <c r="G989" i="1"/>
  <c r="H989" i="1"/>
  <c r="I989" i="1"/>
  <c r="J989" i="1"/>
  <c r="K989" i="1"/>
  <c r="L989" i="1"/>
  <c r="M989" i="1"/>
  <c r="O989" i="1"/>
  <c r="P989" i="1"/>
  <c r="A990" i="1"/>
  <c r="B990" i="1"/>
  <c r="D990" i="1"/>
  <c r="E990" i="1"/>
  <c r="F990" i="1"/>
  <c r="G990" i="1"/>
  <c r="H990" i="1"/>
  <c r="I990" i="1"/>
  <c r="J990" i="1"/>
  <c r="K990" i="1"/>
  <c r="L990" i="1"/>
  <c r="M990" i="1"/>
  <c r="O990" i="1"/>
  <c r="P990" i="1"/>
  <c r="A991" i="1"/>
  <c r="B991" i="1"/>
  <c r="D991" i="1"/>
  <c r="E991" i="1"/>
  <c r="F991" i="1"/>
  <c r="G991" i="1"/>
  <c r="H991" i="1"/>
  <c r="I991" i="1"/>
  <c r="J991" i="1"/>
  <c r="K991" i="1"/>
  <c r="L991" i="1"/>
  <c r="M991" i="1"/>
  <c r="O991" i="1"/>
  <c r="P991" i="1"/>
  <c r="A992" i="1"/>
  <c r="B992" i="1"/>
  <c r="D992" i="1"/>
  <c r="E992" i="1"/>
  <c r="F992" i="1"/>
  <c r="G992" i="1"/>
  <c r="H992" i="1"/>
  <c r="I992" i="1"/>
  <c r="J992" i="1"/>
  <c r="K992" i="1"/>
  <c r="L992" i="1"/>
  <c r="M992" i="1"/>
  <c r="O992" i="1"/>
  <c r="P992" i="1"/>
  <c r="A993" i="1"/>
  <c r="B993" i="1"/>
  <c r="D993" i="1"/>
  <c r="E993" i="1"/>
  <c r="F993" i="1"/>
  <c r="G993" i="1"/>
  <c r="H993" i="1"/>
  <c r="I993" i="1"/>
  <c r="J993" i="1"/>
  <c r="K993" i="1"/>
  <c r="L993" i="1"/>
  <c r="M993" i="1"/>
  <c r="O993" i="1"/>
  <c r="P993" i="1"/>
  <c r="A994" i="1"/>
  <c r="B994" i="1"/>
  <c r="D994" i="1"/>
  <c r="E994" i="1"/>
  <c r="F994" i="1"/>
  <c r="G994" i="1"/>
  <c r="H994" i="1"/>
  <c r="I994" i="1"/>
  <c r="J994" i="1"/>
  <c r="K994" i="1"/>
  <c r="L994" i="1"/>
  <c r="M994" i="1"/>
  <c r="O994" i="1"/>
  <c r="P994" i="1"/>
  <c r="A995" i="1"/>
  <c r="B995" i="1"/>
  <c r="D995" i="1"/>
  <c r="E995" i="1"/>
  <c r="F995" i="1"/>
  <c r="G995" i="1"/>
  <c r="H995" i="1"/>
  <c r="I995" i="1"/>
  <c r="J995" i="1"/>
  <c r="K995" i="1"/>
  <c r="L995" i="1"/>
  <c r="M995" i="1"/>
  <c r="O995" i="1"/>
  <c r="P995" i="1"/>
  <c r="A996" i="1"/>
  <c r="B996" i="1"/>
  <c r="D996" i="1"/>
  <c r="E996" i="1"/>
  <c r="F996" i="1"/>
  <c r="G996" i="1"/>
  <c r="H996" i="1"/>
  <c r="I996" i="1"/>
  <c r="J996" i="1"/>
  <c r="K996" i="1"/>
  <c r="L996" i="1"/>
  <c r="M996" i="1"/>
  <c r="O996" i="1"/>
  <c r="P996" i="1"/>
  <c r="A997" i="1"/>
  <c r="B997" i="1"/>
  <c r="D997" i="1"/>
  <c r="E997" i="1"/>
  <c r="F997" i="1"/>
  <c r="G997" i="1"/>
  <c r="H997" i="1"/>
  <c r="I997" i="1"/>
  <c r="J997" i="1"/>
  <c r="K997" i="1"/>
  <c r="L997" i="1"/>
  <c r="M997" i="1"/>
  <c r="O997" i="1"/>
  <c r="P997" i="1"/>
  <c r="A998" i="1"/>
  <c r="B998" i="1"/>
  <c r="D998" i="1"/>
  <c r="E998" i="1"/>
  <c r="F998" i="1"/>
  <c r="G998" i="1"/>
  <c r="H998" i="1"/>
  <c r="I998" i="1"/>
  <c r="J998" i="1"/>
  <c r="K998" i="1"/>
  <c r="L998" i="1"/>
  <c r="M998" i="1"/>
  <c r="O998" i="1"/>
  <c r="P998" i="1"/>
  <c r="A999" i="1"/>
  <c r="B999" i="1"/>
  <c r="D999" i="1"/>
  <c r="E999" i="1"/>
  <c r="F999" i="1"/>
  <c r="G999" i="1"/>
  <c r="H999" i="1"/>
  <c r="I999" i="1"/>
  <c r="J999" i="1"/>
  <c r="K999" i="1"/>
  <c r="L999" i="1"/>
  <c r="M999" i="1"/>
  <c r="O999" i="1"/>
  <c r="P999" i="1"/>
  <c r="A1000" i="1"/>
  <c r="B1000" i="1"/>
  <c r="D1000" i="1"/>
  <c r="E1000" i="1"/>
  <c r="F1000" i="1"/>
  <c r="G1000" i="1"/>
  <c r="H1000" i="1"/>
  <c r="I1000" i="1"/>
  <c r="J1000" i="1"/>
  <c r="K1000" i="1"/>
  <c r="L1000" i="1"/>
  <c r="M1000" i="1"/>
  <c r="O1000" i="1"/>
  <c r="P1000" i="1"/>
  <c r="A1001" i="1"/>
  <c r="B1001" i="1"/>
  <c r="D1001" i="1"/>
  <c r="E1001" i="1"/>
  <c r="F1001" i="1"/>
  <c r="G1001" i="1"/>
  <c r="H1001" i="1"/>
  <c r="I1001" i="1"/>
  <c r="J1001" i="1"/>
  <c r="K1001" i="1"/>
  <c r="L1001" i="1"/>
  <c r="M1001" i="1"/>
  <c r="O1001" i="1"/>
  <c r="P1001" i="1"/>
  <c r="A1002" i="1"/>
  <c r="B1002" i="1"/>
  <c r="D1002" i="1"/>
  <c r="E1002" i="1"/>
  <c r="F1002" i="1"/>
  <c r="G1002" i="1"/>
  <c r="H1002" i="1"/>
  <c r="I1002" i="1"/>
  <c r="J1002" i="1"/>
  <c r="K1002" i="1"/>
  <c r="L1002" i="1"/>
  <c r="M1002" i="1"/>
  <c r="O1002" i="1"/>
  <c r="P1002" i="1"/>
  <c r="A1003" i="1"/>
  <c r="B1003" i="1"/>
  <c r="D1003" i="1"/>
  <c r="E1003" i="1"/>
  <c r="F1003" i="1"/>
  <c r="G1003" i="1"/>
  <c r="H1003" i="1"/>
  <c r="I1003" i="1"/>
  <c r="J1003" i="1"/>
  <c r="K1003" i="1"/>
  <c r="L1003" i="1"/>
  <c r="M1003" i="1"/>
  <c r="O1003" i="1"/>
  <c r="P1003" i="1"/>
  <c r="A1004" i="1"/>
  <c r="B1004" i="1"/>
  <c r="D1004" i="1"/>
  <c r="E1004" i="1"/>
  <c r="F1004" i="1"/>
  <c r="G1004" i="1"/>
  <c r="H1004" i="1"/>
  <c r="I1004" i="1"/>
  <c r="J1004" i="1"/>
  <c r="K1004" i="1"/>
  <c r="L1004" i="1"/>
  <c r="M1004" i="1"/>
  <c r="O1004" i="1"/>
  <c r="P1004" i="1"/>
  <c r="A1005" i="1"/>
  <c r="B1005" i="1"/>
  <c r="D1005" i="1"/>
  <c r="E1005" i="1"/>
  <c r="F1005" i="1"/>
  <c r="G1005" i="1"/>
  <c r="H1005" i="1"/>
  <c r="I1005" i="1"/>
  <c r="J1005" i="1"/>
  <c r="K1005" i="1"/>
  <c r="L1005" i="1"/>
  <c r="M1005" i="1"/>
  <c r="O1005" i="1"/>
  <c r="P1005" i="1"/>
  <c r="A1006" i="1"/>
  <c r="B1006" i="1"/>
  <c r="D1006" i="1"/>
  <c r="E1006" i="1"/>
  <c r="F1006" i="1"/>
  <c r="G1006" i="1"/>
  <c r="H1006" i="1"/>
  <c r="I1006" i="1"/>
  <c r="J1006" i="1"/>
  <c r="K1006" i="1"/>
  <c r="L1006" i="1"/>
  <c r="M1006" i="1"/>
  <c r="O1006" i="1"/>
  <c r="P1006" i="1"/>
  <c r="A1007" i="1"/>
  <c r="B1007" i="1"/>
  <c r="D1007" i="1"/>
  <c r="E1007" i="1"/>
  <c r="F1007" i="1"/>
  <c r="G1007" i="1"/>
  <c r="H1007" i="1"/>
  <c r="I1007" i="1"/>
  <c r="J1007" i="1"/>
  <c r="K1007" i="1"/>
  <c r="L1007" i="1"/>
  <c r="M1007" i="1"/>
  <c r="O1007" i="1"/>
  <c r="P1007" i="1"/>
  <c r="A1008" i="1"/>
  <c r="B1008" i="1"/>
  <c r="D1008" i="1"/>
  <c r="E1008" i="1"/>
  <c r="F1008" i="1"/>
  <c r="G1008" i="1"/>
  <c r="H1008" i="1"/>
  <c r="I1008" i="1"/>
  <c r="J1008" i="1"/>
  <c r="K1008" i="1"/>
  <c r="L1008" i="1"/>
  <c r="M1008" i="1"/>
  <c r="O1008" i="1"/>
  <c r="P1008" i="1"/>
  <c r="A1009" i="1"/>
  <c r="B1009" i="1"/>
  <c r="D1009" i="1"/>
  <c r="E1009" i="1"/>
  <c r="F1009" i="1"/>
  <c r="G1009" i="1"/>
  <c r="H1009" i="1"/>
  <c r="I1009" i="1"/>
  <c r="J1009" i="1"/>
  <c r="K1009" i="1"/>
  <c r="L1009" i="1"/>
  <c r="M1009" i="1"/>
  <c r="O1009" i="1"/>
  <c r="P1009" i="1"/>
  <c r="A1010" i="1"/>
  <c r="B1010" i="1"/>
  <c r="D1010" i="1"/>
  <c r="E1010" i="1"/>
  <c r="F1010" i="1"/>
  <c r="G1010" i="1"/>
  <c r="H1010" i="1"/>
  <c r="I1010" i="1"/>
  <c r="J1010" i="1"/>
  <c r="K1010" i="1"/>
  <c r="L1010" i="1"/>
  <c r="M1010" i="1"/>
  <c r="O1010" i="1"/>
  <c r="P1010" i="1"/>
  <c r="A1011" i="1"/>
  <c r="B1011" i="1"/>
  <c r="D1011" i="1"/>
  <c r="E1011" i="1"/>
  <c r="F1011" i="1"/>
  <c r="G1011" i="1"/>
  <c r="H1011" i="1"/>
  <c r="I1011" i="1"/>
  <c r="J1011" i="1"/>
  <c r="K1011" i="1"/>
  <c r="L1011" i="1"/>
  <c r="M1011" i="1"/>
  <c r="O1011" i="1"/>
  <c r="P1011" i="1"/>
  <c r="A1012" i="1"/>
  <c r="B1012" i="1"/>
  <c r="D1012" i="1"/>
  <c r="E1012" i="1"/>
  <c r="F1012" i="1"/>
  <c r="G1012" i="1"/>
  <c r="H1012" i="1"/>
  <c r="I1012" i="1"/>
  <c r="J1012" i="1"/>
  <c r="K1012" i="1"/>
  <c r="L1012" i="1"/>
  <c r="M1012" i="1"/>
  <c r="O1012" i="1"/>
  <c r="P1012" i="1"/>
  <c r="A1013" i="1"/>
  <c r="B1013" i="1"/>
  <c r="D1013" i="1"/>
  <c r="E1013" i="1"/>
  <c r="F1013" i="1"/>
  <c r="G1013" i="1"/>
  <c r="H1013" i="1"/>
  <c r="I1013" i="1"/>
  <c r="J1013" i="1"/>
  <c r="K1013" i="1"/>
  <c r="L1013" i="1"/>
  <c r="M1013" i="1"/>
  <c r="O1013" i="1"/>
  <c r="P1013" i="1"/>
  <c r="A1014" i="1"/>
  <c r="B1014" i="1"/>
  <c r="D1014" i="1"/>
  <c r="E1014" i="1"/>
  <c r="F1014" i="1"/>
  <c r="G1014" i="1"/>
  <c r="H1014" i="1"/>
  <c r="I1014" i="1"/>
  <c r="J1014" i="1"/>
  <c r="K1014" i="1"/>
  <c r="L1014" i="1"/>
  <c r="M1014" i="1"/>
  <c r="O1014" i="1"/>
  <c r="P1014" i="1"/>
  <c r="A1015" i="1"/>
  <c r="B1015" i="1"/>
  <c r="D1015" i="1"/>
  <c r="E1015" i="1"/>
  <c r="F1015" i="1"/>
  <c r="G1015" i="1"/>
  <c r="H1015" i="1"/>
  <c r="I1015" i="1"/>
  <c r="J1015" i="1"/>
  <c r="K1015" i="1"/>
  <c r="L1015" i="1"/>
  <c r="M1015" i="1"/>
  <c r="O1015" i="1"/>
  <c r="P1015" i="1"/>
  <c r="A1016" i="1"/>
  <c r="B1016" i="1"/>
  <c r="D1016" i="1"/>
  <c r="E1016" i="1"/>
  <c r="F1016" i="1"/>
  <c r="G1016" i="1"/>
  <c r="H1016" i="1"/>
  <c r="I1016" i="1"/>
  <c r="J1016" i="1"/>
  <c r="K1016" i="1"/>
  <c r="L1016" i="1"/>
  <c r="M1016" i="1"/>
  <c r="O1016" i="1"/>
  <c r="P1016" i="1"/>
  <c r="A1017" i="1"/>
  <c r="B1017" i="1"/>
  <c r="D1017" i="1"/>
  <c r="E1017" i="1"/>
  <c r="F1017" i="1"/>
  <c r="G1017" i="1"/>
  <c r="H1017" i="1"/>
  <c r="I1017" i="1"/>
  <c r="J1017" i="1"/>
  <c r="K1017" i="1"/>
  <c r="L1017" i="1"/>
  <c r="M1017" i="1"/>
  <c r="O1017" i="1"/>
  <c r="P1017" i="1"/>
  <c r="A1018" i="1"/>
  <c r="B1018" i="1"/>
  <c r="D1018" i="1"/>
  <c r="E1018" i="1"/>
  <c r="F1018" i="1"/>
  <c r="G1018" i="1"/>
  <c r="H1018" i="1"/>
  <c r="I1018" i="1"/>
  <c r="J1018" i="1"/>
  <c r="K1018" i="1"/>
  <c r="L1018" i="1"/>
  <c r="M1018" i="1"/>
  <c r="O1018" i="1"/>
  <c r="P1018" i="1"/>
  <c r="A1019" i="1"/>
  <c r="B1019" i="1"/>
  <c r="D1019" i="1"/>
  <c r="E1019" i="1"/>
  <c r="F1019" i="1"/>
  <c r="G1019" i="1"/>
  <c r="H1019" i="1"/>
  <c r="I1019" i="1"/>
  <c r="J1019" i="1"/>
  <c r="K1019" i="1"/>
  <c r="L1019" i="1"/>
  <c r="M1019" i="1"/>
  <c r="O1019" i="1"/>
  <c r="P1019" i="1"/>
  <c r="A1020" i="1"/>
  <c r="B1020" i="1"/>
  <c r="D1020" i="1"/>
  <c r="E1020" i="1"/>
  <c r="F1020" i="1"/>
  <c r="G1020" i="1"/>
  <c r="H1020" i="1"/>
  <c r="I1020" i="1"/>
  <c r="J1020" i="1"/>
  <c r="K1020" i="1"/>
  <c r="L1020" i="1"/>
  <c r="M1020" i="1"/>
  <c r="O1020" i="1"/>
  <c r="P1020" i="1"/>
  <c r="A1021" i="1"/>
  <c r="B1021" i="1"/>
  <c r="D1021" i="1"/>
  <c r="E1021" i="1"/>
  <c r="F1021" i="1"/>
  <c r="G1021" i="1"/>
  <c r="H1021" i="1"/>
  <c r="I1021" i="1"/>
  <c r="J1021" i="1"/>
  <c r="K1021" i="1"/>
  <c r="L1021" i="1"/>
  <c r="M1021" i="1"/>
  <c r="O1021" i="1"/>
  <c r="P1021" i="1"/>
  <c r="A1022" i="1"/>
  <c r="B1022" i="1"/>
  <c r="D1022" i="1"/>
  <c r="E1022" i="1"/>
  <c r="F1022" i="1"/>
  <c r="G1022" i="1"/>
  <c r="H1022" i="1"/>
  <c r="I1022" i="1"/>
  <c r="J1022" i="1"/>
  <c r="K1022" i="1"/>
  <c r="L1022" i="1"/>
  <c r="M1022" i="1"/>
  <c r="O1022" i="1"/>
  <c r="P1022" i="1"/>
  <c r="A1023" i="1"/>
  <c r="B1023" i="1"/>
  <c r="D1023" i="1"/>
  <c r="E1023" i="1"/>
  <c r="F1023" i="1"/>
  <c r="G1023" i="1"/>
  <c r="H1023" i="1"/>
  <c r="I1023" i="1"/>
  <c r="J1023" i="1"/>
  <c r="K1023" i="1"/>
  <c r="L1023" i="1"/>
  <c r="M1023" i="1"/>
  <c r="O1023" i="1"/>
  <c r="P1023" i="1"/>
  <c r="A1024" i="1"/>
  <c r="B1024" i="1"/>
  <c r="D1024" i="1"/>
  <c r="E1024" i="1"/>
  <c r="F1024" i="1"/>
  <c r="G1024" i="1"/>
  <c r="H1024" i="1"/>
  <c r="I1024" i="1"/>
  <c r="J1024" i="1"/>
  <c r="K1024" i="1"/>
  <c r="L1024" i="1"/>
  <c r="M1024" i="1"/>
  <c r="O1024" i="1"/>
  <c r="P1024" i="1"/>
  <c r="A1025" i="1"/>
  <c r="B1025" i="1"/>
  <c r="D1025" i="1"/>
  <c r="E1025" i="1"/>
  <c r="F1025" i="1"/>
  <c r="G1025" i="1"/>
  <c r="H1025" i="1"/>
  <c r="I1025" i="1"/>
  <c r="J1025" i="1"/>
  <c r="K1025" i="1"/>
  <c r="L1025" i="1"/>
  <c r="M1025" i="1"/>
  <c r="O1025" i="1"/>
  <c r="P1025" i="1"/>
  <c r="A1026" i="1"/>
  <c r="B1026" i="1"/>
  <c r="D1026" i="1"/>
  <c r="E1026" i="1"/>
  <c r="F1026" i="1"/>
  <c r="G1026" i="1"/>
  <c r="H1026" i="1"/>
  <c r="I1026" i="1"/>
  <c r="J1026" i="1"/>
  <c r="K1026" i="1"/>
  <c r="L1026" i="1"/>
  <c r="M1026" i="1"/>
  <c r="O1026" i="1"/>
  <c r="P1026" i="1"/>
  <c r="A1027" i="1"/>
  <c r="B1027" i="1"/>
  <c r="D1027" i="1"/>
  <c r="E1027" i="1"/>
  <c r="F1027" i="1"/>
  <c r="G1027" i="1"/>
  <c r="H1027" i="1"/>
  <c r="I1027" i="1"/>
  <c r="J1027" i="1"/>
  <c r="K1027" i="1"/>
  <c r="L1027" i="1"/>
  <c r="M1027" i="1"/>
  <c r="O1027" i="1"/>
  <c r="P1027" i="1"/>
  <c r="A1028" i="1"/>
  <c r="B1028" i="1"/>
  <c r="D1028" i="1"/>
  <c r="E1028" i="1"/>
  <c r="F1028" i="1"/>
  <c r="G1028" i="1"/>
  <c r="H1028" i="1"/>
  <c r="I1028" i="1"/>
  <c r="J1028" i="1"/>
  <c r="K1028" i="1"/>
  <c r="L1028" i="1"/>
  <c r="M1028" i="1"/>
  <c r="O1028" i="1"/>
  <c r="P1028" i="1"/>
  <c r="A1029" i="1"/>
  <c r="B1029" i="1"/>
  <c r="D1029" i="1"/>
  <c r="E1029" i="1"/>
  <c r="F1029" i="1"/>
  <c r="G1029" i="1"/>
  <c r="H1029" i="1"/>
  <c r="I1029" i="1"/>
  <c r="J1029" i="1"/>
  <c r="K1029" i="1"/>
  <c r="L1029" i="1"/>
  <c r="M1029" i="1"/>
  <c r="O1029" i="1"/>
  <c r="P1029" i="1"/>
  <c r="A1030" i="1"/>
  <c r="B1030" i="1"/>
  <c r="D1030" i="1"/>
  <c r="E1030" i="1"/>
  <c r="F1030" i="1"/>
  <c r="G1030" i="1"/>
  <c r="H1030" i="1"/>
  <c r="I1030" i="1"/>
  <c r="J1030" i="1"/>
  <c r="K1030" i="1"/>
  <c r="L1030" i="1"/>
  <c r="M1030" i="1"/>
  <c r="O1030" i="1"/>
  <c r="P1030" i="1"/>
  <c r="A1031" i="1"/>
  <c r="B1031" i="1"/>
  <c r="D1031" i="1"/>
  <c r="E1031" i="1"/>
  <c r="F1031" i="1"/>
  <c r="G1031" i="1"/>
  <c r="H1031" i="1"/>
  <c r="I1031" i="1"/>
  <c r="J1031" i="1"/>
  <c r="K1031" i="1"/>
  <c r="L1031" i="1"/>
  <c r="M1031" i="1"/>
  <c r="O1031" i="1"/>
  <c r="P1031" i="1"/>
  <c r="A1032" i="1"/>
  <c r="B1032" i="1"/>
  <c r="D1032" i="1"/>
  <c r="E1032" i="1"/>
  <c r="F1032" i="1"/>
  <c r="G1032" i="1"/>
  <c r="H1032" i="1"/>
  <c r="I1032" i="1"/>
  <c r="J1032" i="1"/>
  <c r="K1032" i="1"/>
  <c r="L1032" i="1"/>
  <c r="M1032" i="1"/>
  <c r="O1032" i="1"/>
  <c r="P1032" i="1"/>
  <c r="A1033" i="1"/>
  <c r="B1033" i="1"/>
  <c r="D1033" i="1"/>
  <c r="E1033" i="1"/>
  <c r="F1033" i="1"/>
  <c r="G1033" i="1"/>
  <c r="H1033" i="1"/>
  <c r="I1033" i="1"/>
  <c r="J1033" i="1"/>
  <c r="K1033" i="1"/>
  <c r="L1033" i="1"/>
  <c r="M1033" i="1"/>
  <c r="O1033" i="1"/>
  <c r="P1033" i="1"/>
  <c r="A1034" i="1"/>
  <c r="B1034" i="1"/>
  <c r="D1034" i="1"/>
  <c r="E1034" i="1"/>
  <c r="F1034" i="1"/>
  <c r="G1034" i="1"/>
  <c r="H1034" i="1"/>
  <c r="I1034" i="1"/>
  <c r="J1034" i="1"/>
  <c r="K1034" i="1"/>
  <c r="L1034" i="1"/>
  <c r="M1034" i="1"/>
  <c r="O1034" i="1"/>
  <c r="P1034" i="1"/>
  <c r="A1035" i="1"/>
  <c r="B1035" i="1"/>
  <c r="D1035" i="1"/>
  <c r="E1035" i="1"/>
  <c r="F1035" i="1"/>
  <c r="G1035" i="1"/>
  <c r="H1035" i="1"/>
  <c r="I1035" i="1"/>
  <c r="J1035" i="1"/>
  <c r="K1035" i="1"/>
  <c r="L1035" i="1"/>
  <c r="M1035" i="1"/>
  <c r="O1035" i="1"/>
  <c r="P1035" i="1"/>
  <c r="A1036" i="1"/>
  <c r="B1036" i="1"/>
  <c r="D1036" i="1"/>
  <c r="E1036" i="1"/>
  <c r="F1036" i="1"/>
  <c r="G1036" i="1"/>
  <c r="H1036" i="1"/>
  <c r="I1036" i="1"/>
  <c r="J1036" i="1"/>
  <c r="K1036" i="1"/>
  <c r="L1036" i="1"/>
  <c r="M1036" i="1"/>
  <c r="O1036" i="1"/>
  <c r="P1036" i="1"/>
  <c r="A1037" i="1"/>
  <c r="B1037" i="1"/>
  <c r="D1037" i="1"/>
  <c r="E1037" i="1"/>
  <c r="F1037" i="1"/>
  <c r="G1037" i="1"/>
  <c r="H1037" i="1"/>
  <c r="I1037" i="1"/>
  <c r="J1037" i="1"/>
  <c r="K1037" i="1"/>
  <c r="L1037" i="1"/>
  <c r="M1037" i="1"/>
  <c r="O1037" i="1"/>
  <c r="P1037" i="1"/>
  <c r="A1038" i="1"/>
  <c r="B1038" i="1"/>
  <c r="D1038" i="1"/>
  <c r="E1038" i="1"/>
  <c r="F1038" i="1"/>
  <c r="G1038" i="1"/>
  <c r="H1038" i="1"/>
  <c r="I1038" i="1"/>
  <c r="J1038" i="1"/>
  <c r="K1038" i="1"/>
  <c r="L1038" i="1"/>
  <c r="M1038" i="1"/>
  <c r="O1038" i="1"/>
  <c r="P1038" i="1"/>
  <c r="A1039" i="1"/>
  <c r="B1039" i="1"/>
  <c r="D1039" i="1"/>
  <c r="E1039" i="1"/>
  <c r="F1039" i="1"/>
  <c r="G1039" i="1"/>
  <c r="H1039" i="1"/>
  <c r="I1039" i="1"/>
  <c r="J1039" i="1"/>
  <c r="K1039" i="1"/>
  <c r="L1039" i="1"/>
  <c r="M1039" i="1"/>
  <c r="O1039" i="1"/>
  <c r="P1039" i="1"/>
  <c r="A1040" i="1"/>
  <c r="B1040" i="1"/>
  <c r="D1040" i="1"/>
  <c r="E1040" i="1"/>
  <c r="F1040" i="1"/>
  <c r="G1040" i="1"/>
  <c r="H1040" i="1"/>
  <c r="I1040" i="1"/>
  <c r="J1040" i="1"/>
  <c r="K1040" i="1"/>
  <c r="L1040" i="1"/>
  <c r="M1040" i="1"/>
  <c r="O1040" i="1"/>
  <c r="P1040" i="1"/>
  <c r="A1041" i="1"/>
  <c r="B1041" i="1"/>
  <c r="D1041" i="1"/>
  <c r="E1041" i="1"/>
  <c r="F1041" i="1"/>
  <c r="G1041" i="1"/>
  <c r="H1041" i="1"/>
  <c r="I1041" i="1"/>
  <c r="J1041" i="1"/>
  <c r="K1041" i="1"/>
  <c r="L1041" i="1"/>
  <c r="M1041" i="1"/>
  <c r="O1041" i="1"/>
  <c r="P1041" i="1"/>
</calcChain>
</file>

<file path=xl/sharedStrings.xml><?xml version="1.0" encoding="utf-8"?>
<sst xmlns="http://schemas.openxmlformats.org/spreadsheetml/2006/main" count="16" uniqueCount="16">
  <si>
    <t>DIV</t>
  </si>
  <si>
    <t>BUR</t>
  </si>
  <si>
    <t>SCHD_DT</t>
  </si>
  <si>
    <t>PROJ_ID</t>
  </si>
  <si>
    <t>SUB_PGM</t>
  </si>
  <si>
    <t>SCHD_RNG</t>
  </si>
  <si>
    <t>CPNT_TY</t>
  </si>
  <si>
    <t>SORT_TY</t>
  </si>
  <si>
    <t>CONCEPT</t>
  </si>
  <si>
    <t>HWY</t>
  </si>
  <si>
    <t>COUNTY</t>
  </si>
  <si>
    <t>TITLE</t>
  </si>
  <si>
    <t>LIMIT</t>
  </si>
  <si>
    <t>NMILES</t>
  </si>
  <si>
    <t>TIE_BID</t>
  </si>
  <si>
    <t>WPGM_DS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</si>
</sst>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5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1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4.140625" bestFit="1" customWidth="1"/>
    <col min="2" max="2" width="4.5703125" bestFit="1" customWidth="1"/>
    <col min="3" max="3" width="10.140625" bestFit="1" customWidth="1"/>
    <col min="4" max="4" width="10.42578125" bestFit="1" customWidth="1"/>
    <col min="5" max="5" width="9.5703125" bestFit="1" customWidth="1"/>
    <col min="6" max="6" width="25.5703125" bestFit="1" customWidth="1"/>
    <col min="7" max="7" width="8.7109375" bestFit="1" customWidth="1"/>
    <col min="8" max="8" width="28.140625" bestFit="1" customWidth="1"/>
    <col min="9" max="9" width="41.28515625" bestFit="1" customWidth="1"/>
    <col min="10" max="10" width="9.85546875" bestFit="1" customWidth="1"/>
    <col min="11" max="11" width="30.85546875" bestFit="1" customWidth="1"/>
    <col min="12" max="13" width="42.140625" bestFit="1" customWidth="1"/>
    <col min="14" max="14" width="7.5703125" bestFit="1" customWidth="1"/>
    <col min="15" max="15" width="10.42578125" bestFit="1" customWidth="1"/>
    <col min="16" max="16" width="73.28515625" bestFit="1" customWidth="1"/>
  </cols>
  <sheetData>
    <row r="1" spans="1:1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t="str">
        <f t="shared" ref="A2:A12" si="0">CLEAN("10")</f>
        <v>10</v>
      </c>
      <c r="B2" t="str">
        <f>CLEAN("18")</f>
        <v>18</v>
      </c>
      <c r="C2" s="1">
        <v>45285</v>
      </c>
      <c r="D2" t="str">
        <f>CLEAN("1000-02-37")</f>
        <v>1000-02-37</v>
      </c>
      <c r="E2" t="str">
        <f>CLEAN("303  ")</f>
        <v xml:space="preserve">303  </v>
      </c>
      <c r="F2" t="str">
        <f>CLEAN("$100,000-$249,999        ")</f>
        <v xml:space="preserve">$100,000-$249,999        </v>
      </c>
      <c r="G2" t="str">
        <f>CLEAN("MIS")</f>
        <v>MIS</v>
      </c>
      <c r="H2" t="str">
        <f>CLEAN("NONLET CONSTR/REAL ESTATE")</f>
        <v>NONLET CONSTR/REAL ESTATE</v>
      </c>
      <c r="I2" t="str">
        <f>CLEAN("ADMIN - HCWP/SWB GRANT PROGRAM     ")</f>
        <v xml:space="preserve">ADMIN - HCWP/SWB GRANT PROGRAM     </v>
      </c>
      <c r="J2" t="str">
        <f>CLEAN("OFF SYS")</f>
        <v>OFF SYS</v>
      </c>
      <c r="K2" t="str">
        <f>CLEAN("STATEWIDE                     ")</f>
        <v xml:space="preserve">STATEWIDE                     </v>
      </c>
      <c r="L2" t="str">
        <f>CLEAN("HWY CONSTR WORKFORCE PARTSHP       ")</f>
        <v xml:space="preserve">HWY CONSTR WORKFORCE PARTSHP       </v>
      </c>
      <c r="M2" t="str">
        <f>CLEAN("STRATEGIC WORKFORCE DEV OJT/SS     ")</f>
        <v xml:space="preserve">STRATEGIC WORKFORCE DEV OJT/SS     </v>
      </c>
      <c r="N2">
        <v>0</v>
      </c>
      <c r="O2" t="str">
        <f>CLEAN("          ")</f>
        <v xml:space="preserve">          </v>
      </c>
      <c r="P2" t="str">
        <f>CLEAN("STP - DISCRETIONARY                                                                                 ")</f>
        <v xml:space="preserve">STP - DISCRETIONARY                                                                                 </v>
      </c>
    </row>
    <row r="3" spans="1:16" x14ac:dyDescent="0.25">
      <c r="A3" t="str">
        <f t="shared" si="0"/>
        <v>10</v>
      </c>
      <c r="B3" t="str">
        <f>CLEAN("18")</f>
        <v>18</v>
      </c>
      <c r="C3" s="1">
        <v>45285</v>
      </c>
      <c r="D3" t="str">
        <f>CLEAN("1000-02-40")</f>
        <v>1000-02-40</v>
      </c>
      <c r="E3" t="str">
        <f>CLEAN("303  ")</f>
        <v xml:space="preserve">303  </v>
      </c>
      <c r="F3" t="str">
        <f>CLEAN("$750,000 - $999,999      ")</f>
        <v xml:space="preserve">$750,000 - $999,999      </v>
      </c>
      <c r="G3" t="str">
        <f>CLEAN("MIS")</f>
        <v>MIS</v>
      </c>
      <c r="H3" t="str">
        <f>CLEAN("NONLET CONSTR/REAL ESTATE")</f>
        <v>NONLET CONSTR/REAL ESTATE</v>
      </c>
      <c r="I3" t="str">
        <f>CLEAN("ADMIN - FFY22 DBE/SS               ")</f>
        <v xml:space="preserve">ADMIN - FFY22 DBE/SS               </v>
      </c>
      <c r="J3" t="str">
        <f>CLEAN("OFF SYS")</f>
        <v>OFF SYS</v>
      </c>
      <c r="K3" t="str">
        <f>CLEAN("STATEWIDE                     ")</f>
        <v xml:space="preserve">STATEWIDE                     </v>
      </c>
      <c r="L3" t="str">
        <f>CLEAN("DBE SUPPORT SERVICES               ")</f>
        <v xml:space="preserve">DBE SUPPORT SERVICES               </v>
      </c>
      <c r="M3" t="str">
        <f>CLEAN("DBE BUSINESS DEVLOPMENT PROGRAM    ")</f>
        <v xml:space="preserve">DBE BUSINESS DEVLOPMENT PROGRAM    </v>
      </c>
      <c r="N3">
        <v>0</v>
      </c>
      <c r="O3" t="str">
        <f>CLEAN("          ")</f>
        <v xml:space="preserve">          </v>
      </c>
      <c r="P3" t="str">
        <f>CLEAN("STP - DISCRETIONARY                                                                                 ")</f>
        <v xml:space="preserve">STP - DISCRETIONARY                                                                                 </v>
      </c>
    </row>
    <row r="4" spans="1:16" x14ac:dyDescent="0.25">
      <c r="A4" t="str">
        <f t="shared" si="0"/>
        <v>10</v>
      </c>
      <c r="B4" t="str">
        <f>CLEAN("22")</f>
        <v>22</v>
      </c>
      <c r="C4" s="1">
        <v>45316</v>
      </c>
      <c r="D4" t="str">
        <f>CLEAN("1000-07-09")</f>
        <v>1000-07-09</v>
      </c>
      <c r="E4" t="str">
        <f>CLEAN("206  ")</f>
        <v xml:space="preserve">206  </v>
      </c>
      <c r="F4" t="str">
        <f>CLEAN("$250,000 - $499,999      ")</f>
        <v xml:space="preserve">$250,000 - $499,999      </v>
      </c>
      <c r="G4" t="str">
        <f>CLEAN("MIS")</f>
        <v>MIS</v>
      </c>
      <c r="H4" t="str">
        <f>CLEAN("NONLET CONSTR/REAL ESTATE")</f>
        <v>NONLET CONSTR/REAL ESTATE</v>
      </c>
      <c r="I4" t="str">
        <f>CLEAN("MISC/ORTHOPHOTO MAPPING            ")</f>
        <v xml:space="preserve">MISC/ORTHOPHOTO MAPPING            </v>
      </c>
      <c r="J4" t="str">
        <f>CLEAN("NON HWY")</f>
        <v>NON HWY</v>
      </c>
      <c r="K4" t="str">
        <f>CLEAN("MILWAUKEE                     ")</f>
        <v xml:space="preserve">MILWAUKEE                     </v>
      </c>
      <c r="L4" t="str">
        <f>CLEAN("SEWRPC SUPPORT                     ")</f>
        <v xml:space="preserve">SEWRPC SUPPORT                     </v>
      </c>
      <c r="M4" t="str">
        <f>CLEAN("2024 ORTHOPHOTOGRAPHIC MAPPING     ")</f>
        <v xml:space="preserve">2024 ORTHOPHOTOGRAPHIC MAPPING     </v>
      </c>
      <c r="N4">
        <v>0</v>
      </c>
      <c r="O4" t="str">
        <f>CLEAN("          ")</f>
        <v xml:space="preserve">          </v>
      </c>
      <c r="P4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" spans="1:16" x14ac:dyDescent="0.25">
      <c r="A5" t="str">
        <f t="shared" si="0"/>
        <v>10</v>
      </c>
      <c r="B5" t="str">
        <f>CLEAN("25")</f>
        <v>25</v>
      </c>
      <c r="C5" s="1">
        <v>45468</v>
      </c>
      <c r="D5" t="str">
        <f>CLEAN("1000-08-46")</f>
        <v>1000-08-46</v>
      </c>
      <c r="E5" t="str">
        <f>CLEAN("303  ")</f>
        <v xml:space="preserve">303  </v>
      </c>
      <c r="F5" t="str">
        <f>CLEAN("$500,000 - $749,999      ")</f>
        <v xml:space="preserve">$500,000 - $749,999      </v>
      </c>
      <c r="G5" t="str">
        <f>CLEAN("MIS")</f>
        <v>MIS</v>
      </c>
      <c r="H5" t="str">
        <f>CLEAN("NONLET CONSTR/REAL ESTATE")</f>
        <v>NONLET CONSTR/REAL ESTATE</v>
      </c>
      <c r="I5" t="str">
        <f>CLEAN("EX- LFA/LEVEL-OF-EFFORT SFY 2024   ")</f>
        <v xml:space="preserve">EX- LFA/LEVEL-OF-EFFORT SFY 2024   </v>
      </c>
      <c r="J5" t="str">
        <f t="shared" ref="J5:J12" si="1">CLEAN("VAR HWY")</f>
        <v>VAR HWY</v>
      </c>
      <c r="K5" t="str">
        <f>CLEAN("NORTHWEST REGION WIDE         ")</f>
        <v xml:space="preserve">NORTHWEST REGION WIDE         </v>
      </c>
      <c r="L5" t="str">
        <f>CLEAN("PAVEMENT PRESERVATION LVL OF EFFORT")</f>
        <v>PAVEMENT PRESERVATION LVL OF EFFORT</v>
      </c>
      <c r="M5" t="str">
        <f>CLEAN("NORTHWEST REGION - VARIOUS HIGHWAYS")</f>
        <v>NORTHWEST REGION - VARIOUS HIGHWAYS</v>
      </c>
      <c r="N5">
        <v>0</v>
      </c>
      <c r="O5" t="str">
        <f>CLEAN("          ")</f>
        <v xml:space="preserve">          </v>
      </c>
      <c r="P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" spans="1:16" x14ac:dyDescent="0.25">
      <c r="A6" t="str">
        <f t="shared" si="0"/>
        <v>10</v>
      </c>
      <c r="B6" t="str">
        <f>CLEAN("25")</f>
        <v>25</v>
      </c>
      <c r="C6" s="1">
        <v>45426</v>
      </c>
      <c r="D6" t="str">
        <f>CLEAN("1000-18-88")</f>
        <v>1000-18-88</v>
      </c>
      <c r="E6" t="str">
        <f>CLEAN("303  ")</f>
        <v xml:space="preserve">303  </v>
      </c>
      <c r="F6" t="str">
        <f>CLEAN("$1,000,000 - $1,999,999  ")</f>
        <v xml:space="preserve">$1,000,000 - $1,999,999  </v>
      </c>
      <c r="G6" t="str">
        <f>CLEAN("LET")</f>
        <v>LET</v>
      </c>
      <c r="H6" t="str">
        <f>CLEAN("LET CONSTRUCTION         ")</f>
        <v xml:space="preserve">LET CONSTRUCTION         </v>
      </c>
      <c r="I6" t="str">
        <f>CLEAN("CONST/PRESERVATION BRIDGE SPOT PNT ")</f>
        <v xml:space="preserve">CONST/PRESERVATION BRIDGE SPOT PNT </v>
      </c>
      <c r="J6" t="str">
        <f t="shared" si="1"/>
        <v>VAR HWY</v>
      </c>
      <c r="K6" t="str">
        <f>CLEAN("PIERCE                        ")</f>
        <v xml:space="preserve">PIERCE                        </v>
      </c>
      <c r="L6" t="str">
        <f>CLEAN("NW REGION, BRIDGE SPOT PNT FY2024  ")</f>
        <v xml:space="preserve">NW REGION, BRIDGE SPOT PNT FY2024  </v>
      </c>
      <c r="M6" t="str">
        <f>CLEAN("VARIOUS HIGHWAYS, NW REGION FY2024 ")</f>
        <v xml:space="preserve">VARIOUS HIGHWAYS, NW REGION FY2024 </v>
      </c>
      <c r="N6">
        <v>0</v>
      </c>
      <c r="O6" t="str">
        <f>CLEAN("          ")</f>
        <v xml:space="preserve">          </v>
      </c>
      <c r="P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" spans="1:16" x14ac:dyDescent="0.25">
      <c r="A7" t="str">
        <f t="shared" si="0"/>
        <v>10</v>
      </c>
      <c r="B7" t="str">
        <f>CLEAN("17")</f>
        <v>17</v>
      </c>
      <c r="C7" s="1">
        <v>45335</v>
      </c>
      <c r="D7" t="str">
        <f>CLEAN("1000-20-83")</f>
        <v>1000-20-83</v>
      </c>
      <c r="E7" t="str">
        <f>CLEAN("305  ")</f>
        <v xml:space="preserve">305  </v>
      </c>
      <c r="F7" t="str">
        <f>CLEAN("$500,000 - $749,999      ")</f>
        <v xml:space="preserve">$500,000 - $749,999      </v>
      </c>
      <c r="G7" t="str">
        <f>CLEAN("LET")</f>
        <v>LET</v>
      </c>
      <c r="H7" t="str">
        <f>CLEAN("LET CONSTRUCTION         ")</f>
        <v xml:space="preserve">LET CONSTRUCTION         </v>
      </c>
      <c r="I7" t="str">
        <f>CLEAN("CONSTRUCTION/2024 SIGN REPLACEMENTS")</f>
        <v>CONSTRUCTION/2024 SIGN REPLACEMENTS</v>
      </c>
      <c r="J7" t="str">
        <f t="shared" si="1"/>
        <v>VAR HWY</v>
      </c>
      <c r="K7" t="str">
        <f>CLEAN("STATEWIDE                     ")</f>
        <v xml:space="preserve">STATEWIDE                     </v>
      </c>
      <c r="L7" t="str">
        <f>CLEAN("STATEWIDE TYPE 1 SIGN REPLACEMENT  ")</f>
        <v xml:space="preserve">STATEWIDE TYPE 1 SIGN REPLACEMENT  </v>
      </c>
      <c r="M7" t="str">
        <f>CLEAN("LOCATIONS ON STN PER ANNUAL PLAN   ")</f>
        <v xml:space="preserve">LOCATIONS ON STN PER ANNUAL PLAN   </v>
      </c>
      <c r="N7">
        <v>0</v>
      </c>
      <c r="O7" t="str">
        <f>CLEAN("1009-43-70")</f>
        <v>1009-43-70</v>
      </c>
      <c r="P7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8" spans="1:16" x14ac:dyDescent="0.25">
      <c r="A8" t="str">
        <f t="shared" si="0"/>
        <v>10</v>
      </c>
      <c r="B8" t="str">
        <f>CLEAN("23")</f>
        <v>23</v>
      </c>
      <c r="C8" s="1">
        <v>45590</v>
      </c>
      <c r="D8" t="str">
        <f>CLEAN("1000-39-19")</f>
        <v>1000-39-19</v>
      </c>
      <c r="E8" t="str">
        <f>CLEAN("303  ")</f>
        <v xml:space="preserve">303  </v>
      </c>
      <c r="F8" t="str">
        <f>CLEAN("$100,000-$249,999        ")</f>
        <v xml:space="preserve">$100,000-$249,999        </v>
      </c>
      <c r="G8" t="str">
        <f>CLEAN("R/E")</f>
        <v>R/E</v>
      </c>
      <c r="H8" t="str">
        <f>CLEAN("NONLET CONSTR/REAL ESTATE")</f>
        <v>NONLET CONSTR/REAL ESTATE</v>
      </c>
      <c r="I8" t="str">
        <f>CLEAN("RE OPS/RE ACQUISITION              ")</f>
        <v xml:space="preserve">RE OPS/RE ACQUISITION              </v>
      </c>
      <c r="J8" t="str">
        <f t="shared" si="1"/>
        <v>VAR HWY</v>
      </c>
      <c r="K8" t="str">
        <f>CLEAN("SHEBOYGAN                     ")</f>
        <v xml:space="preserve">SHEBOYGAN                     </v>
      </c>
      <c r="L8" t="str">
        <f>CLEAN("C SHEBOYGAN, VARIOUS HIGHWAYS      ")</f>
        <v xml:space="preserve">C SHEBOYGAN, VARIOUS HIGHWAYS      </v>
      </c>
      <c r="M8" t="str">
        <f>CLEAN("STH 23/28/42 CURB RAMP IMPROVEMENTS")</f>
        <v>STH 23/28/42 CURB RAMP IMPROVEMENTS</v>
      </c>
      <c r="N8">
        <v>4.25</v>
      </c>
      <c r="O8" t="str">
        <f>CLEAN("          ")</f>
        <v xml:space="preserve">          </v>
      </c>
      <c r="P8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9" spans="1:16" x14ac:dyDescent="0.25">
      <c r="A9" t="str">
        <f t="shared" si="0"/>
        <v>10</v>
      </c>
      <c r="B9" t="str">
        <f>CLEAN("22")</f>
        <v>22</v>
      </c>
      <c r="C9" s="1">
        <v>45426</v>
      </c>
      <c r="D9" t="str">
        <f>CLEAN("1000-50-60")</f>
        <v>1000-50-60</v>
      </c>
      <c r="E9" t="str">
        <f>CLEAN("303  ")</f>
        <v xml:space="preserve">303  </v>
      </c>
      <c r="F9" t="str">
        <f>CLEAN("$100,000-$249,999        ")</f>
        <v xml:space="preserve">$100,000-$249,999        </v>
      </c>
      <c r="G9" t="str">
        <f>CLEAN("LET")</f>
        <v>LET</v>
      </c>
      <c r="H9" t="str">
        <f>CLEAN("LET CONSTRUCTION         ")</f>
        <v xml:space="preserve">LET CONSTRUCTION         </v>
      </c>
      <c r="I9" t="str">
        <f>CLEAN("CONST/DECK SEALING                 ")</f>
        <v xml:space="preserve">CONST/DECK SEALING                 </v>
      </c>
      <c r="J9" t="str">
        <f t="shared" si="1"/>
        <v>VAR HWY</v>
      </c>
      <c r="K9" t="str">
        <f t="shared" ref="K9:K16" si="2">CLEAN("MILWAUKEE                     ")</f>
        <v xml:space="preserve">MILWAUKEE                     </v>
      </c>
      <c r="L9" t="str">
        <f>CLEAN("MILWAUKEE CO DECK SEALING FY23-BB  ")</f>
        <v xml:space="preserve">MILWAUKEE CO DECK SEALING FY23-BB  </v>
      </c>
      <c r="M9" t="str">
        <f>CLEAN("VARIOUS ROUTES STH PER STN PLAN    ")</f>
        <v xml:space="preserve">VARIOUS ROUTES STH PER STN PLAN    </v>
      </c>
      <c r="N9">
        <v>0</v>
      </c>
      <c r="O9" t="str">
        <f>CLEAN("1000-50-61")</f>
        <v>1000-50-61</v>
      </c>
      <c r="P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0" spans="1:16" x14ac:dyDescent="0.25">
      <c r="A10" t="str">
        <f t="shared" si="0"/>
        <v>10</v>
      </c>
      <c r="B10" t="str">
        <f>CLEAN("22")</f>
        <v>22</v>
      </c>
      <c r="C10" s="1">
        <v>45426</v>
      </c>
      <c r="D10" t="str">
        <f>CLEAN("1000-50-60")</f>
        <v>1000-50-60</v>
      </c>
      <c r="E10" t="str">
        <f>CLEAN("303  ")</f>
        <v xml:space="preserve">303  </v>
      </c>
      <c r="F10" t="str">
        <f>CLEAN("$100,000-$249,999        ")</f>
        <v xml:space="preserve">$100,000-$249,999        </v>
      </c>
      <c r="G10" t="str">
        <f>CLEAN("LET")</f>
        <v>LET</v>
      </c>
      <c r="H10" t="str">
        <f>CLEAN("LET CONSTRUCTION         ")</f>
        <v xml:space="preserve">LET CONSTRUCTION         </v>
      </c>
      <c r="I10" t="str">
        <f>CLEAN("CONST/DECK SEALING                 ")</f>
        <v xml:space="preserve">CONST/DECK SEALING                 </v>
      </c>
      <c r="J10" t="str">
        <f t="shared" si="1"/>
        <v>VAR HWY</v>
      </c>
      <c r="K10" t="str">
        <f t="shared" si="2"/>
        <v xml:space="preserve">MILWAUKEE                     </v>
      </c>
      <c r="L10" t="str">
        <f>CLEAN("MILWAUKEE CO DECK SEALING FY23-BB  ")</f>
        <v xml:space="preserve">MILWAUKEE CO DECK SEALING FY23-BB  </v>
      </c>
      <c r="M10" t="str">
        <f>CLEAN("VARIOUS ROUTES STH PER STN PLAN    ")</f>
        <v xml:space="preserve">VARIOUS ROUTES STH PER STN PLAN    </v>
      </c>
      <c r="N10">
        <v>0</v>
      </c>
      <c r="O10" t="str">
        <f>CLEAN("2025-03-74")</f>
        <v>2025-03-74</v>
      </c>
      <c r="P1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1" spans="1:16" x14ac:dyDescent="0.25">
      <c r="A11" t="str">
        <f t="shared" si="0"/>
        <v>10</v>
      </c>
      <c r="B11" t="str">
        <f>CLEAN("22")</f>
        <v>22</v>
      </c>
      <c r="C11" s="1">
        <v>45426</v>
      </c>
      <c r="D11" t="str">
        <f>CLEAN("1000-50-61")</f>
        <v>1000-50-61</v>
      </c>
      <c r="E11" t="str">
        <f>CLEAN("303  ")</f>
        <v xml:space="preserve">303  </v>
      </c>
      <c r="F11" t="str">
        <f>CLEAN("$250,000 - $499,999      ")</f>
        <v xml:space="preserve">$250,000 - $499,999      </v>
      </c>
      <c r="G11" t="str">
        <f>CLEAN("LET")</f>
        <v>LET</v>
      </c>
      <c r="H11" t="str">
        <f>CLEAN("LET CONSTRUCTION         ")</f>
        <v xml:space="preserve">LET CONSTRUCTION         </v>
      </c>
      <c r="I11" t="str">
        <f>CLEAN("CONST/DECK SEALING                 ")</f>
        <v xml:space="preserve">CONST/DECK SEALING                 </v>
      </c>
      <c r="J11" t="str">
        <f t="shared" si="1"/>
        <v>VAR HWY</v>
      </c>
      <c r="K11" t="str">
        <f t="shared" si="2"/>
        <v xml:space="preserve">MILWAUKEE                     </v>
      </c>
      <c r="L11" t="str">
        <f>CLEAN("MILWAUKEE CO DECK SEALING FY23-3R  ")</f>
        <v xml:space="preserve">MILWAUKEE CO DECK SEALING FY23-3R  </v>
      </c>
      <c r="M11" t="str">
        <f>CLEAN("VARIOUS ROUTES STH PER STN PLAN    ")</f>
        <v xml:space="preserve">VARIOUS ROUTES STH PER STN PLAN    </v>
      </c>
      <c r="N11">
        <v>0</v>
      </c>
      <c r="O11" t="str">
        <f>CLEAN("1000-50-60")</f>
        <v>1000-50-60</v>
      </c>
      <c r="P1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2" spans="1:16" x14ac:dyDescent="0.25">
      <c r="A12" t="str">
        <f t="shared" si="0"/>
        <v>10</v>
      </c>
      <c r="B12" t="str">
        <f>CLEAN("22")</f>
        <v>22</v>
      </c>
      <c r="C12" s="1">
        <v>45426</v>
      </c>
      <c r="D12" t="str">
        <f>CLEAN("1000-50-61")</f>
        <v>1000-50-61</v>
      </c>
      <c r="E12" t="str">
        <f>CLEAN("303  ")</f>
        <v xml:space="preserve">303  </v>
      </c>
      <c r="F12" t="str">
        <f>CLEAN("$250,000 - $499,999      ")</f>
        <v xml:space="preserve">$250,000 - $499,999      </v>
      </c>
      <c r="G12" t="str">
        <f>CLEAN("LET")</f>
        <v>LET</v>
      </c>
      <c r="H12" t="str">
        <f>CLEAN("LET CONSTRUCTION         ")</f>
        <v xml:space="preserve">LET CONSTRUCTION         </v>
      </c>
      <c r="I12" t="str">
        <f>CLEAN("CONST/DECK SEALING                 ")</f>
        <v xml:space="preserve">CONST/DECK SEALING                 </v>
      </c>
      <c r="J12" t="str">
        <f t="shared" si="1"/>
        <v>VAR HWY</v>
      </c>
      <c r="K12" t="str">
        <f t="shared" si="2"/>
        <v xml:space="preserve">MILWAUKEE                     </v>
      </c>
      <c r="L12" t="str">
        <f>CLEAN("MILWAUKEE CO DECK SEALING FY23-3R  ")</f>
        <v xml:space="preserve">MILWAUKEE CO DECK SEALING FY23-3R  </v>
      </c>
      <c r="M12" t="str">
        <f>CLEAN("VARIOUS ROUTES STH PER STN PLAN    ")</f>
        <v xml:space="preserve">VARIOUS ROUTES STH PER STN PLAN    </v>
      </c>
      <c r="N12">
        <v>0</v>
      </c>
      <c r="O12" t="str">
        <f>CLEAN("2025-03-74")</f>
        <v>2025-03-74</v>
      </c>
      <c r="P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3" spans="1:16" x14ac:dyDescent="0.25">
      <c r="A13" t="str">
        <f t="shared" ref="A13:B22" si="3">CLEAN("08")</f>
        <v>08</v>
      </c>
      <c r="B13" t="str">
        <f t="shared" si="3"/>
        <v>08</v>
      </c>
      <c r="C13" s="1">
        <v>45590</v>
      </c>
      <c r="D13" t="str">
        <f>CLEAN("1000-73-20")</f>
        <v>1000-73-20</v>
      </c>
      <c r="E13" t="str">
        <f>CLEAN("203  ")</f>
        <v xml:space="preserve">203  </v>
      </c>
      <c r="F13" t="str">
        <f>CLEAN("$500,000 - $749,999      ")</f>
        <v xml:space="preserve">$500,000 - $749,999      </v>
      </c>
      <c r="G13" t="str">
        <f>CLEAN("R/E")</f>
        <v>R/E</v>
      </c>
      <c r="H13" t="str">
        <f t="shared" ref="H13:H22" si="4">CLEAN("NONLET CONSTR/REAL ESTATE")</f>
        <v>NONLET CONSTR/REAL ESTATE</v>
      </c>
      <c r="I13" t="str">
        <f>CLEAN("EX-RE/NEW TRACK CONST              ")</f>
        <v xml:space="preserve">EX-RE/NEW TRACK CONST              </v>
      </c>
      <c r="J13" t="str">
        <f t="shared" ref="J13:J22" si="5">CLEAN("NON HWY")</f>
        <v>NON HWY</v>
      </c>
      <c r="K13" t="str">
        <f t="shared" si="2"/>
        <v xml:space="preserve">MILWAUKEE                     </v>
      </c>
      <c r="L13" t="str">
        <f>CLEAN("MUSKEGO YARDS CRISI GRANT          ")</f>
        <v xml:space="preserve">MUSKEGO YARDS CRISI GRANT          </v>
      </c>
      <c r="M13" t="str">
        <f>CLEAN("MUSKEGO YARD FREIGHT TRACKS        ")</f>
        <v xml:space="preserve">MUSKEGO YARD FREIGHT TRACKS        </v>
      </c>
      <c r="N13">
        <v>0</v>
      </c>
      <c r="O13" t="str">
        <f t="shared" ref="O13:O40" si="6">CLEAN("          ")</f>
        <v xml:space="preserve">          </v>
      </c>
      <c r="P13" t="str">
        <f t="shared" ref="P13:P22" si="7"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14" spans="1:16" x14ac:dyDescent="0.25">
      <c r="A14" t="str">
        <f t="shared" si="3"/>
        <v>08</v>
      </c>
      <c r="B14" t="str">
        <f t="shared" si="3"/>
        <v>08</v>
      </c>
      <c r="C14" s="1">
        <v>45590</v>
      </c>
      <c r="D14" t="str">
        <f>CLEAN("1000-73-40")</f>
        <v>1000-73-40</v>
      </c>
      <c r="E14" t="str">
        <f>CLEAN("203  ")</f>
        <v xml:space="preserve">203  </v>
      </c>
      <c r="F14" t="str">
        <f>CLEAN("$1,000,000 - $1,999,999  ")</f>
        <v xml:space="preserve">$1,000,000 - $1,999,999  </v>
      </c>
      <c r="G14" t="str">
        <f>CLEAN("UTL")</f>
        <v>UTL</v>
      </c>
      <c r="H14" t="str">
        <f t="shared" si="4"/>
        <v>NONLET CONSTR/REAL ESTATE</v>
      </c>
      <c r="I14" t="str">
        <f>CLEAN("EX-UTIL/NEW TRACK CONST            ")</f>
        <v xml:space="preserve">EX-UTIL/NEW TRACK CONST            </v>
      </c>
      <c r="J14" t="str">
        <f t="shared" si="5"/>
        <v>NON HWY</v>
      </c>
      <c r="K14" t="str">
        <f t="shared" si="2"/>
        <v xml:space="preserve">MILWAUKEE                     </v>
      </c>
      <c r="L14" t="str">
        <f>CLEAN("MUSKEGO YARD CRISI GRANT           ")</f>
        <v xml:space="preserve">MUSKEGO YARD CRISI GRANT           </v>
      </c>
      <c r="M14" t="str">
        <f>CLEAN("MUSKEGO YARD FREIGHT TRACKS        ")</f>
        <v xml:space="preserve">MUSKEGO YARD FREIGHT TRACKS        </v>
      </c>
      <c r="N14">
        <v>0</v>
      </c>
      <c r="O14" t="str">
        <f t="shared" si="6"/>
        <v xml:space="preserve">          </v>
      </c>
      <c r="P14" t="str">
        <f t="shared" si="7"/>
        <v xml:space="preserve">SAFETY - RAILROAD, ELIMINATION OF HAZARDS                                                           </v>
      </c>
    </row>
    <row r="15" spans="1:16" x14ac:dyDescent="0.25">
      <c r="A15" t="str">
        <f t="shared" si="3"/>
        <v>08</v>
      </c>
      <c r="B15" t="str">
        <f t="shared" si="3"/>
        <v>08</v>
      </c>
      <c r="C15" s="1">
        <v>45590</v>
      </c>
      <c r="D15" t="str">
        <f>CLEAN("1000-73-50")</f>
        <v>1000-73-50</v>
      </c>
      <c r="E15" t="str">
        <f>CLEAN("203  ")</f>
        <v xml:space="preserve">203  </v>
      </c>
      <c r="F15" t="str">
        <f>CLEAN("$500,000 - $749,999      ")</f>
        <v xml:space="preserve">$500,000 - $749,999      </v>
      </c>
      <c r="G15" t="str">
        <f>CLEAN("R/R")</f>
        <v>R/R</v>
      </c>
      <c r="H15" t="str">
        <f t="shared" si="4"/>
        <v>NONLET CONSTR/REAL ESTATE</v>
      </c>
      <c r="I15" t="str">
        <f>CLEAN("EX-RR/SIGNAL DESIGN                ")</f>
        <v xml:space="preserve">EX-RR/SIGNAL DESIGN                </v>
      </c>
      <c r="J15" t="str">
        <f t="shared" si="5"/>
        <v>NON HWY</v>
      </c>
      <c r="K15" t="str">
        <f t="shared" si="2"/>
        <v xml:space="preserve">MILWAUKEE                     </v>
      </c>
      <c r="L15" t="str">
        <f>CLEAN("MUSKEGO YARDS CRISI GRANT          ")</f>
        <v xml:space="preserve">MUSKEGO YARDS CRISI GRANT          </v>
      </c>
      <c r="M15" t="str">
        <f>CLEAN("MUSKEGO YARD FREIGHT TRACKS        ")</f>
        <v xml:space="preserve">MUSKEGO YARD FREIGHT TRACKS        </v>
      </c>
      <c r="N15">
        <v>0</v>
      </c>
      <c r="O15" t="str">
        <f t="shared" si="6"/>
        <v xml:space="preserve">          </v>
      </c>
      <c r="P15" t="str">
        <f t="shared" si="7"/>
        <v xml:space="preserve">SAFETY - RAILROAD, ELIMINATION OF HAZARDS                                                           </v>
      </c>
    </row>
    <row r="16" spans="1:16" x14ac:dyDescent="0.25">
      <c r="A16" t="str">
        <f t="shared" si="3"/>
        <v>08</v>
      </c>
      <c r="B16" t="str">
        <f t="shared" si="3"/>
        <v>08</v>
      </c>
      <c r="C16" s="1">
        <v>45590</v>
      </c>
      <c r="D16" t="str">
        <f>CLEAN("1000-73-51")</f>
        <v>1000-73-51</v>
      </c>
      <c r="E16" t="str">
        <f>CLEAN("203  ")</f>
        <v xml:space="preserve">203  </v>
      </c>
      <c r="F16" t="str">
        <f>CLEAN("$11,000,000 - $11,999,999")</f>
        <v>$11,000,000 - $11,999,999</v>
      </c>
      <c r="G16" t="str">
        <f>CLEAN("R/R")</f>
        <v>R/R</v>
      </c>
      <c r="H16" t="str">
        <f t="shared" si="4"/>
        <v>NONLET CONSTR/REAL ESTATE</v>
      </c>
      <c r="I16" t="str">
        <f>CLEAN("EX-RR/SIGNAL CONSTRUCTION          ")</f>
        <v xml:space="preserve">EX-RR/SIGNAL CONSTRUCTION          </v>
      </c>
      <c r="J16" t="str">
        <f t="shared" si="5"/>
        <v>NON HWY</v>
      </c>
      <c r="K16" t="str">
        <f t="shared" si="2"/>
        <v xml:space="preserve">MILWAUKEE                     </v>
      </c>
      <c r="L16" t="str">
        <f>CLEAN("MUSKEGO YARDS CRISI GRANT          ")</f>
        <v xml:space="preserve">MUSKEGO YARDS CRISI GRANT          </v>
      </c>
      <c r="M16" t="str">
        <f>CLEAN("MUSKEGO YARD FREIGHT TRACKS        ")</f>
        <v xml:space="preserve">MUSKEGO YARD FREIGHT TRACKS        </v>
      </c>
      <c r="N16">
        <v>0</v>
      </c>
      <c r="O16" t="str">
        <f t="shared" si="6"/>
        <v xml:space="preserve">          </v>
      </c>
      <c r="P16" t="str">
        <f t="shared" si="7"/>
        <v xml:space="preserve">SAFETY - RAILROAD, ELIMINATION OF HAZARDS                                                           </v>
      </c>
    </row>
    <row r="17" spans="1:16" x14ac:dyDescent="0.25">
      <c r="A17" t="str">
        <f t="shared" si="3"/>
        <v>08</v>
      </c>
      <c r="B17" t="str">
        <f t="shared" si="3"/>
        <v>08</v>
      </c>
      <c r="C17" s="1">
        <v>45285</v>
      </c>
      <c r="D17" t="str">
        <f>CLEAN("1000-74-20")</f>
        <v>1000-74-20</v>
      </c>
      <c r="E17" t="str">
        <f t="shared" ref="E17:E22" si="8">CLEAN("207  ")</f>
        <v xml:space="preserve">207  </v>
      </c>
      <c r="F17" t="str">
        <f>CLEAN("$250,000 - $499,999      ")</f>
        <v xml:space="preserve">$250,000 - $499,999      </v>
      </c>
      <c r="G17" t="str">
        <f>CLEAN("R/E")</f>
        <v>R/E</v>
      </c>
      <c r="H17" t="str">
        <f t="shared" si="4"/>
        <v>NONLET CONSTR/REAL ESTATE</v>
      </c>
      <c r="I17" t="str">
        <f>CLEAN("EX-INFRASTURE IMP FOR 2ND RND TRIP ")</f>
        <v xml:space="preserve">EX-INFRASTURE IMP FOR 2ND RND TRIP </v>
      </c>
      <c r="J17" t="str">
        <f t="shared" si="5"/>
        <v>NON HWY</v>
      </c>
      <c r="K17" t="str">
        <f t="shared" ref="K17:K22" si="9">CLEAN("LA CROSSE                     ")</f>
        <v xml:space="preserve">LA CROSSE                     </v>
      </c>
      <c r="L17" t="str">
        <f>CLEAN("TCMC INTERCITY PASSENGER RAIL GRANT")</f>
        <v>TCMC INTERCITY PASSENGER RAIL GRANT</v>
      </c>
      <c r="M17" t="str">
        <f>CLEAN("LA CROSSE - ST. PAUL               ")</f>
        <v xml:space="preserve">LA CROSSE - ST. PAUL               </v>
      </c>
      <c r="N17">
        <v>0</v>
      </c>
      <c r="O17" t="str">
        <f t="shared" si="6"/>
        <v xml:space="preserve">          </v>
      </c>
      <c r="P17" t="str">
        <f t="shared" si="7"/>
        <v xml:space="preserve">SAFETY - RAILROAD, ELIMINATION OF HAZARDS                                                           </v>
      </c>
    </row>
    <row r="18" spans="1:16" x14ac:dyDescent="0.25">
      <c r="A18" t="str">
        <f t="shared" si="3"/>
        <v>08</v>
      </c>
      <c r="B18" t="str">
        <f t="shared" si="3"/>
        <v>08</v>
      </c>
      <c r="C18" s="1">
        <v>45285</v>
      </c>
      <c r="D18" t="str">
        <f>CLEAN("1000-74-40")</f>
        <v>1000-74-40</v>
      </c>
      <c r="E18" t="str">
        <f t="shared" si="8"/>
        <v xml:space="preserve">207  </v>
      </c>
      <c r="F18" t="str">
        <f>CLEAN("$1,000,000 - $1,999,999  ")</f>
        <v xml:space="preserve">$1,000,000 - $1,999,999  </v>
      </c>
      <c r="G18" t="str">
        <f>CLEAN("UTL")</f>
        <v>UTL</v>
      </c>
      <c r="H18" t="str">
        <f t="shared" si="4"/>
        <v>NONLET CONSTR/REAL ESTATE</v>
      </c>
      <c r="I18" t="str">
        <f>CLEAN("EX-INFRASTURE IMP FOR 2ND RND TRIP ")</f>
        <v xml:space="preserve">EX-INFRASTURE IMP FOR 2ND RND TRIP </v>
      </c>
      <c r="J18" t="str">
        <f t="shared" si="5"/>
        <v>NON HWY</v>
      </c>
      <c r="K18" t="str">
        <f t="shared" si="9"/>
        <v xml:space="preserve">LA CROSSE                     </v>
      </c>
      <c r="L18" t="str">
        <f>CLEAN("TCMC INTERCITY PASSENGER RAIL GRANT")</f>
        <v>TCMC INTERCITY PASSENGER RAIL GRANT</v>
      </c>
      <c r="M18" t="str">
        <f>CLEAN("LA CROSSE - ST. PAUL               ")</f>
        <v xml:space="preserve">LA CROSSE - ST. PAUL               </v>
      </c>
      <c r="N18">
        <v>0.7</v>
      </c>
      <c r="O18" t="str">
        <f t="shared" si="6"/>
        <v xml:space="preserve">          </v>
      </c>
      <c r="P18" t="str">
        <f t="shared" si="7"/>
        <v xml:space="preserve">SAFETY - RAILROAD, ELIMINATION OF HAZARDS                                                           </v>
      </c>
    </row>
    <row r="19" spans="1:16" x14ac:dyDescent="0.25">
      <c r="A19" t="str">
        <f t="shared" si="3"/>
        <v>08</v>
      </c>
      <c r="B19" t="str">
        <f t="shared" si="3"/>
        <v>08</v>
      </c>
      <c r="C19" s="1">
        <v>45285</v>
      </c>
      <c r="D19" t="str">
        <f>CLEAN("1000-74-50")</f>
        <v>1000-74-50</v>
      </c>
      <c r="E19" t="str">
        <f t="shared" si="8"/>
        <v xml:space="preserve">207  </v>
      </c>
      <c r="F19" t="str">
        <f>CLEAN("$2,000,000 - $2,999,999  ")</f>
        <v xml:space="preserve">$2,000,000 - $2,999,999  </v>
      </c>
      <c r="G19" t="str">
        <f>CLEAN("R/R")</f>
        <v>R/R</v>
      </c>
      <c r="H19" t="str">
        <f t="shared" si="4"/>
        <v>NONLET CONSTR/REAL ESTATE</v>
      </c>
      <c r="I19" t="str">
        <f>CLEAN("EX- INFRASTURE IMP FOR 2ND RND TRIP")</f>
        <v>EX- INFRASTURE IMP FOR 2ND RND TRIP</v>
      </c>
      <c r="J19" t="str">
        <f t="shared" si="5"/>
        <v>NON HWY</v>
      </c>
      <c r="K19" t="str">
        <f t="shared" si="9"/>
        <v xml:space="preserve">LA CROSSE                     </v>
      </c>
      <c r="L19" t="str">
        <f>CLEAN("TCMC INTERCITY PASSENGER RAIL GRANT")</f>
        <v>TCMC INTERCITY PASSENGER RAIL GRANT</v>
      </c>
      <c r="M19" t="str">
        <f>CLEAN("LA CROSSE - ST. PAUL               ")</f>
        <v xml:space="preserve">LA CROSSE - ST. PAUL               </v>
      </c>
      <c r="N19">
        <v>0.7</v>
      </c>
      <c r="O19" t="str">
        <f t="shared" si="6"/>
        <v xml:space="preserve">          </v>
      </c>
      <c r="P19" t="str">
        <f t="shared" si="7"/>
        <v xml:space="preserve">SAFETY - RAILROAD, ELIMINATION OF HAZARDS                                                           </v>
      </c>
    </row>
    <row r="20" spans="1:16" x14ac:dyDescent="0.25">
      <c r="A20" t="str">
        <f t="shared" si="3"/>
        <v>08</v>
      </c>
      <c r="B20" t="str">
        <f t="shared" si="3"/>
        <v>08</v>
      </c>
      <c r="C20" s="1">
        <v>45285</v>
      </c>
      <c r="D20" t="str">
        <f>CLEAN("1000-74-51")</f>
        <v>1000-74-51</v>
      </c>
      <c r="E20" t="str">
        <f t="shared" si="8"/>
        <v xml:space="preserve">207  </v>
      </c>
      <c r="F20" t="str">
        <f>CLEAN("$2,000,000 - $2,999,999  ")</f>
        <v xml:space="preserve">$2,000,000 - $2,999,999  </v>
      </c>
      <c r="G20" t="str">
        <f>CLEAN("R/R")</f>
        <v>R/R</v>
      </c>
      <c r="H20" t="str">
        <f t="shared" si="4"/>
        <v>NONLET CONSTR/REAL ESTATE</v>
      </c>
      <c r="I20" t="str">
        <f>CLEAN("EX-INFRASTR IMP 2ND RND TRP WI ONLY")</f>
        <v>EX-INFRASTR IMP 2ND RND TRP WI ONLY</v>
      </c>
      <c r="J20" t="str">
        <f t="shared" si="5"/>
        <v>NON HWY</v>
      </c>
      <c r="K20" t="str">
        <f t="shared" si="9"/>
        <v xml:space="preserve">LA CROSSE                     </v>
      </c>
      <c r="L20" t="str">
        <f>CLEAN("TCMC INTERCITY PASSENGER RAIL GRANT")</f>
        <v>TCMC INTERCITY PASSENGER RAIL GRANT</v>
      </c>
      <c r="M20" t="str">
        <f>CLEAN("LA CROSSE - ST. PAUL               ")</f>
        <v xml:space="preserve">LA CROSSE - ST. PAUL               </v>
      </c>
      <c r="N20">
        <v>0.7</v>
      </c>
      <c r="O20" t="str">
        <f t="shared" si="6"/>
        <v xml:space="preserve">          </v>
      </c>
      <c r="P20" t="str">
        <f t="shared" si="7"/>
        <v xml:space="preserve">SAFETY - RAILROAD, ELIMINATION OF HAZARDS                                                           </v>
      </c>
    </row>
    <row r="21" spans="1:16" x14ac:dyDescent="0.25">
      <c r="A21" t="str">
        <f t="shared" si="3"/>
        <v>08</v>
      </c>
      <c r="B21" t="str">
        <f t="shared" si="3"/>
        <v>08</v>
      </c>
      <c r="C21" s="1">
        <v>45285</v>
      </c>
      <c r="D21" t="str">
        <f>CLEAN("1000-74-53")</f>
        <v>1000-74-53</v>
      </c>
      <c r="E21" t="str">
        <f t="shared" si="8"/>
        <v xml:space="preserve">207  </v>
      </c>
      <c r="F21" t="str">
        <f>CLEAN("$9,000,000 - $9,999,999  ")</f>
        <v xml:space="preserve">$9,000,000 - $9,999,999  </v>
      </c>
      <c r="G21" t="str">
        <f>CLEAN("R/R")</f>
        <v>R/R</v>
      </c>
      <c r="H21" t="str">
        <f t="shared" si="4"/>
        <v>NONLET CONSTR/REAL ESTATE</v>
      </c>
      <c r="I21" t="str">
        <f>CLEAN("EX-INFRASTR IMP 2ND RND TRP MN ONLY")</f>
        <v>EX-INFRASTR IMP 2ND RND TRP MN ONLY</v>
      </c>
      <c r="J21" t="str">
        <f t="shared" si="5"/>
        <v>NON HWY</v>
      </c>
      <c r="K21" t="str">
        <f t="shared" si="9"/>
        <v xml:space="preserve">LA CROSSE                     </v>
      </c>
      <c r="L21" t="str">
        <f>CLEAN("TCMC INTERCITY PASSENGER RAIL GRANT")</f>
        <v>TCMC INTERCITY PASSENGER RAIL GRANT</v>
      </c>
      <c r="M21" t="str">
        <f>CLEAN("LA CROSSE - ST. PAUL               ")</f>
        <v xml:space="preserve">LA CROSSE - ST. PAUL               </v>
      </c>
      <c r="N21">
        <v>0.7</v>
      </c>
      <c r="O21" t="str">
        <f t="shared" si="6"/>
        <v xml:space="preserve">          </v>
      </c>
      <c r="P21" t="str">
        <f t="shared" si="7"/>
        <v xml:space="preserve">SAFETY - RAILROAD, ELIMINATION OF HAZARDS                                                           </v>
      </c>
    </row>
    <row r="22" spans="1:16" x14ac:dyDescent="0.25">
      <c r="A22" t="str">
        <f t="shared" si="3"/>
        <v>08</v>
      </c>
      <c r="B22" t="str">
        <f t="shared" si="3"/>
        <v>08</v>
      </c>
      <c r="C22" s="1">
        <v>45347</v>
      </c>
      <c r="D22" t="str">
        <f>CLEAN("1000-74-59")</f>
        <v>1000-74-59</v>
      </c>
      <c r="E22" t="str">
        <f t="shared" si="8"/>
        <v xml:space="preserve">207  </v>
      </c>
      <c r="F22" t="str">
        <f>CLEAN("$0 - $99,999             ")</f>
        <v xml:space="preserve">$0 - $99,999             </v>
      </c>
      <c r="G22" t="str">
        <f>CLEAN("R/R")</f>
        <v>R/R</v>
      </c>
      <c r="H22" t="str">
        <f t="shared" si="4"/>
        <v>NONLET CONSTR/REAL ESTATE</v>
      </c>
      <c r="I22" t="str">
        <f>CLEAN("EX- RR SIGNALS MASTS W/ NO GATES   ")</f>
        <v xml:space="preserve">EX- RR SIGNALS MASTS W/ NO GATES   </v>
      </c>
      <c r="J22" t="str">
        <f t="shared" si="5"/>
        <v>NON HWY</v>
      </c>
      <c r="K22" t="str">
        <f t="shared" si="9"/>
        <v xml:space="preserve">LA CROSSE                     </v>
      </c>
      <c r="L22" t="str">
        <f>CLEAN("TCMC C LACROSSE COPELAND AV PED XNG")</f>
        <v>TCMC C LACROSSE COPELAND AV PED XNG</v>
      </c>
      <c r="M22" t="str">
        <f>CLEAN("CP X-ING 390938L                   ")</f>
        <v xml:space="preserve">CP X-ING 390938L                   </v>
      </c>
      <c r="N22">
        <v>0.7</v>
      </c>
      <c r="O22" t="str">
        <f t="shared" si="6"/>
        <v xml:space="preserve">          </v>
      </c>
      <c r="P22" t="str">
        <f t="shared" si="7"/>
        <v xml:space="preserve">SAFETY - RAILROAD, ELIMINATION OF HAZARDS                                                           </v>
      </c>
    </row>
    <row r="23" spans="1:16" x14ac:dyDescent="0.25">
      <c r="A23" t="str">
        <f>CLEAN("10")</f>
        <v>10</v>
      </c>
      <c r="B23" t="str">
        <f>CLEAN("22")</f>
        <v>22</v>
      </c>
      <c r="C23" s="1">
        <v>45272</v>
      </c>
      <c r="D23" t="str">
        <f>CLEAN("1000-77-24")</f>
        <v>1000-77-24</v>
      </c>
      <c r="E23" t="str">
        <f>CLEAN("305  ")</f>
        <v xml:space="preserve">305  </v>
      </c>
      <c r="F23" t="str">
        <f>CLEAN("$2,000,000 - $2,999,999  ")</f>
        <v xml:space="preserve">$2,000,000 - $2,999,999  </v>
      </c>
      <c r="G23" t="str">
        <f>CLEAN("LET")</f>
        <v>LET</v>
      </c>
      <c r="H23" t="str">
        <f>CLEAN("LET CONSTRUCTION         ")</f>
        <v xml:space="preserve">LET CONSTRUCTION         </v>
      </c>
      <c r="I23" t="str">
        <f>CLEAN("CONST/ PAVEMENT MARKING            ")</f>
        <v xml:space="preserve">CONST/ PAVEMENT MARKING            </v>
      </c>
      <c r="J23" t="str">
        <f>CLEAN("VAR HWY")</f>
        <v>VAR HWY</v>
      </c>
      <c r="K23" t="str">
        <f>CLEAN("SOUTHEAST REGION WIDE         ")</f>
        <v xml:space="preserve">SOUTHEAST REGION WIDE         </v>
      </c>
      <c r="L23" t="str">
        <f>CLEAN("EPOXY PAVEMENT MARKING, 2024       ")</f>
        <v xml:space="preserve">EPOXY PAVEMENT MARKING, 2024       </v>
      </c>
      <c r="M23" t="str">
        <f>CLEAN("LOCATIONS ON STN PER ANNUAL PLAN   ")</f>
        <v xml:space="preserve">LOCATIONS ON STN PER ANNUAL PLAN   </v>
      </c>
      <c r="N23">
        <v>0</v>
      </c>
      <c r="O23" t="str">
        <f t="shared" si="6"/>
        <v xml:space="preserve">          </v>
      </c>
      <c r="P2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4" spans="1:16" x14ac:dyDescent="0.25">
      <c r="A24" t="str">
        <f>CLEAN("10")</f>
        <v>10</v>
      </c>
      <c r="B24" t="str">
        <f>CLEAN("22")</f>
        <v>22</v>
      </c>
      <c r="C24" s="1">
        <v>45272</v>
      </c>
      <c r="D24" t="str">
        <f>CLEAN("1000-77-24")</f>
        <v>1000-77-24</v>
      </c>
      <c r="E24" t="str">
        <f>CLEAN("305  ")</f>
        <v xml:space="preserve">305  </v>
      </c>
      <c r="F24" t="str">
        <f>CLEAN("$2,000,000 - $2,999,999  ")</f>
        <v xml:space="preserve">$2,000,000 - $2,999,999  </v>
      </c>
      <c r="G24" t="str">
        <f>CLEAN("LET")</f>
        <v>LET</v>
      </c>
      <c r="H24" t="str">
        <f>CLEAN("LET CONSTRUCTION         ")</f>
        <v xml:space="preserve">LET CONSTRUCTION         </v>
      </c>
      <c r="I24" t="str">
        <f>CLEAN("CONST/ PAVEMENT MARKING            ")</f>
        <v xml:space="preserve">CONST/ PAVEMENT MARKING            </v>
      </c>
      <c r="J24" t="str">
        <f>CLEAN("VAR HWY")</f>
        <v>VAR HWY</v>
      </c>
      <c r="K24" t="str">
        <f>CLEAN("SOUTHEAST REGION WIDE         ")</f>
        <v xml:space="preserve">SOUTHEAST REGION WIDE         </v>
      </c>
      <c r="L24" t="str">
        <f>CLEAN("EPOXY PAVEMENT MARKING, 2024       ")</f>
        <v xml:space="preserve">EPOXY PAVEMENT MARKING, 2024       </v>
      </c>
      <c r="M24" t="str">
        <f>CLEAN("LOCATIONS ON STN PER ANNUAL PLAN   ")</f>
        <v xml:space="preserve">LOCATIONS ON STN PER ANNUAL PLAN   </v>
      </c>
      <c r="N24">
        <v>0</v>
      </c>
      <c r="O24" t="str">
        <f t="shared" si="6"/>
        <v xml:space="preserve">          </v>
      </c>
      <c r="P24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25" spans="1:16" x14ac:dyDescent="0.25">
      <c r="A25" t="str">
        <f>CLEAN("08")</f>
        <v>08</v>
      </c>
      <c r="B25" t="str">
        <f>CLEAN("08")</f>
        <v>08</v>
      </c>
      <c r="C25" s="1">
        <v>45285</v>
      </c>
      <c r="D25" t="str">
        <f>CLEAN("1000-78-59")</f>
        <v>1000-78-59</v>
      </c>
      <c r="E25" t="str">
        <f>CLEAN("207  ")</f>
        <v xml:space="preserve">207  </v>
      </c>
      <c r="F25" t="str">
        <f>CLEAN("$750,000 - $999,999      ")</f>
        <v xml:space="preserve">$750,000 - $999,999      </v>
      </c>
      <c r="G25" t="str">
        <f>CLEAN("R/R")</f>
        <v>R/R</v>
      </c>
      <c r="H25" t="str">
        <f>CLEAN("NONLET CONSTR/REAL ESTATE")</f>
        <v>NONLET CONSTR/REAL ESTATE</v>
      </c>
      <c r="I25" t="str">
        <f>CLEAN("EX-INFRASTR IMP 2ND RND TRP MN ONLY")</f>
        <v>EX-INFRASTR IMP 2ND RND TRP MN ONLY</v>
      </c>
      <c r="J25" t="str">
        <f>CLEAN("NON HWY")</f>
        <v>NON HWY</v>
      </c>
      <c r="K25" t="str">
        <f>CLEAN("LA CROSSE                     ")</f>
        <v xml:space="preserve">LA CROSSE                     </v>
      </c>
      <c r="L25" t="str">
        <f>CLEAN("TCMC INTERCITY PASSENGER RAIL GRANT")</f>
        <v>TCMC INTERCITY PASSENGER RAIL GRANT</v>
      </c>
      <c r="M25" t="str">
        <f>CLEAN("LA CROSSE - ST. PAUL               ")</f>
        <v xml:space="preserve">LA CROSSE - ST. PAUL               </v>
      </c>
      <c r="N25">
        <v>0.7</v>
      </c>
      <c r="O25" t="str">
        <f t="shared" si="6"/>
        <v xml:space="preserve">          </v>
      </c>
      <c r="P25" t="str">
        <f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26" spans="1:16" x14ac:dyDescent="0.25">
      <c r="A26" t="str">
        <f>CLEAN("10")</f>
        <v>10</v>
      </c>
      <c r="B26" t="str">
        <f>CLEAN("22")</f>
        <v>22</v>
      </c>
      <c r="C26" s="1">
        <v>45363</v>
      </c>
      <c r="D26" t="str">
        <f>CLEAN("1000-81-70")</f>
        <v>1000-81-70</v>
      </c>
      <c r="E26" t="str">
        <f>CLEAN("303  ")</f>
        <v xml:space="preserve">303  </v>
      </c>
      <c r="F26" t="str">
        <f>CLEAN("$250,000 - $499,999      ")</f>
        <v xml:space="preserve">$250,000 - $499,999      </v>
      </c>
      <c r="G26" t="str">
        <f>CLEAN("LET")</f>
        <v>LET</v>
      </c>
      <c r="H26" t="str">
        <f>CLEAN("LET CONSTRUCTION         ")</f>
        <v xml:space="preserve">LET CONSTRUCTION         </v>
      </c>
      <c r="I26" t="str">
        <f>CLEAN("CONST/MISC                         ")</f>
        <v xml:space="preserve">CONST/MISC                         </v>
      </c>
      <c r="J26" t="str">
        <f>CLEAN("NON HWY")</f>
        <v>NON HWY</v>
      </c>
      <c r="K26" t="str">
        <f>CLEAN("MILWAUKEE                     ")</f>
        <v xml:space="preserve">MILWAUKEE                     </v>
      </c>
      <c r="L26" t="str">
        <f>CLEAN("VARIOUS POND LOCATIONS             ")</f>
        <v xml:space="preserve">VARIOUS POND LOCATIONS             </v>
      </c>
      <c r="M26" t="str">
        <f>CLEAN("IH94 EW FWY/IH41 ZOO FWY           ")</f>
        <v xml:space="preserve">IH94 EW FWY/IH41 ZOO FWY           </v>
      </c>
      <c r="N26">
        <v>0</v>
      </c>
      <c r="O26" t="str">
        <f t="shared" si="6"/>
        <v xml:space="preserve">          </v>
      </c>
      <c r="P2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" spans="1:16" x14ac:dyDescent="0.25">
      <c r="A27" t="str">
        <f>CLEAN("10")</f>
        <v>10</v>
      </c>
      <c r="B27" t="str">
        <f>CLEAN("21")</f>
        <v>21</v>
      </c>
      <c r="C27" s="1">
        <v>45636</v>
      </c>
      <c r="D27" t="str">
        <f>CLEAN("1001-00-66")</f>
        <v>1001-00-66</v>
      </c>
      <c r="E27" t="str">
        <f>CLEAN("303  ")</f>
        <v xml:space="preserve">303  </v>
      </c>
      <c r="F27" t="str">
        <f>CLEAN("$7,000,000 - $7,999,999  ")</f>
        <v xml:space="preserve">$7,000,000 - $7,999,999  </v>
      </c>
      <c r="G27" t="str">
        <f>CLEAN("LET")</f>
        <v>LET</v>
      </c>
      <c r="H27" t="str">
        <f>CLEAN("LET CONSTRUCTION         ")</f>
        <v xml:space="preserve">LET CONSTRUCTION         </v>
      </c>
      <c r="I27" t="str">
        <f>CLEAN("CONST/CONCRETE PAV'T REPAIR/PSRS   ")</f>
        <v xml:space="preserve">CONST/CONCRETE PAV'T REPAIR/PSRS   </v>
      </c>
      <c r="J27" t="str">
        <f>CLEAN("IH  039")</f>
        <v>IH  039</v>
      </c>
      <c r="K27" t="str">
        <f>CLEAN("DANE                          ")</f>
        <v xml:space="preserve">DANE                          </v>
      </c>
      <c r="L27" t="str">
        <f>CLEAN("JANESVILLE - PORTAGE               ")</f>
        <v xml:space="preserve">JANESVILLE - PORTAGE               </v>
      </c>
      <c r="M27" t="str">
        <f>CLEAN("USH 12/18 TO LIEN ROAD             ")</f>
        <v xml:space="preserve">USH 12/18 TO LIEN ROAD             </v>
      </c>
      <c r="N27">
        <v>3.5339999999999998</v>
      </c>
      <c r="O27" t="str">
        <f t="shared" si="6"/>
        <v xml:space="preserve">          </v>
      </c>
      <c r="P2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8" spans="1:16" x14ac:dyDescent="0.25">
      <c r="A28" t="str">
        <f t="shared" ref="A28:B32" si="10">CLEAN("08")</f>
        <v>08</v>
      </c>
      <c r="B28" t="str">
        <f t="shared" si="10"/>
        <v>08</v>
      </c>
      <c r="C28" s="1">
        <v>45285</v>
      </c>
      <c r="D28" t="str">
        <f>CLEAN("1009-01-24")</f>
        <v>1009-01-24</v>
      </c>
      <c r="E28" t="str">
        <f>CLEAN("290  ")</f>
        <v xml:space="preserve">290  </v>
      </c>
      <c r="F28" t="str">
        <f>CLEAN("$100,000-$249,999        ")</f>
        <v xml:space="preserve">$100,000-$249,999        </v>
      </c>
      <c r="G28" t="str">
        <f>CLEAN("MIS")</f>
        <v>MIS</v>
      </c>
      <c r="H28" t="str">
        <f>CLEAN("NONLET CONSTR/REAL ESTATE")</f>
        <v>NONLET CONSTR/REAL ESTATE</v>
      </c>
      <c r="I28" t="str">
        <f>CLEAN("NON-INF SAFE ROUTES TO SCHOOL      ")</f>
        <v xml:space="preserve">NON-INF SAFE ROUTES TO SCHOOL      </v>
      </c>
      <c r="J28" t="str">
        <f>CLEAN("NON HWY")</f>
        <v>NON HWY</v>
      </c>
      <c r="K28" t="str">
        <f>CLEAN("MILWAUKEE                     ")</f>
        <v xml:space="preserve">MILWAUKEE                     </v>
      </c>
      <c r="L28" t="str">
        <f>CLEAN("MPS SRTS Yr 2 of 2                 ")</f>
        <v xml:space="preserve">MPS SRTS Yr 2 of 2                 </v>
      </c>
      <c r="M28" t="str">
        <f>CLEAN("DISTRICT-WIDE SAFE ROUTES TO SCHOOL")</f>
        <v>DISTRICT-WIDE SAFE ROUTES TO SCHOOL</v>
      </c>
      <c r="N28">
        <v>0</v>
      </c>
      <c r="O28" t="str">
        <f t="shared" si="6"/>
        <v xml:space="preserve">          </v>
      </c>
      <c r="P28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29" spans="1:16" x14ac:dyDescent="0.25">
      <c r="A29" t="str">
        <f t="shared" si="10"/>
        <v>08</v>
      </c>
      <c r="B29" t="str">
        <f t="shared" si="10"/>
        <v>08</v>
      </c>
      <c r="C29" s="1">
        <v>45285</v>
      </c>
      <c r="D29" t="str">
        <f>CLEAN("1009-01-32")</f>
        <v>1009-01-32</v>
      </c>
      <c r="E29" t="str">
        <f>CLEAN("290  ")</f>
        <v xml:space="preserve">290  </v>
      </c>
      <c r="F29" t="str">
        <f>CLEAN("$250,000 - $499,999      ")</f>
        <v xml:space="preserve">$250,000 - $499,999      </v>
      </c>
      <c r="G29" t="str">
        <f>CLEAN("MIS")</f>
        <v>MIS</v>
      </c>
      <c r="H29" t="str">
        <f>CLEAN("NONLET CONSTR/REAL ESTATE")</f>
        <v>NONLET CONSTR/REAL ESTATE</v>
      </c>
      <c r="I29" t="str">
        <f>CLEAN("SRTS EDUCATION                     ")</f>
        <v xml:space="preserve">SRTS EDUCATION                     </v>
      </c>
      <c r="J29" t="str">
        <f>CLEAN("NON HWY")</f>
        <v>NON HWY</v>
      </c>
      <c r="K29" t="str">
        <f>CLEAN("MILWAUKEE                     ")</f>
        <v xml:space="preserve">MILWAUKEE                     </v>
      </c>
      <c r="L29" t="str">
        <f>CLEAN("Bike Fed SRTS High School Project  ")</f>
        <v xml:space="preserve">Bike Fed SRTS High School Project  </v>
      </c>
      <c r="M29" t="str">
        <f>CLEAN("MILWAUKEE TMA AREA                 ")</f>
        <v xml:space="preserve">MILWAUKEE TMA AREA                 </v>
      </c>
      <c r="N29">
        <v>0</v>
      </c>
      <c r="O29" t="str">
        <f t="shared" si="6"/>
        <v xml:space="preserve">          </v>
      </c>
      <c r="P29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0" spans="1:16" x14ac:dyDescent="0.25">
      <c r="A30" t="str">
        <f t="shared" si="10"/>
        <v>08</v>
      </c>
      <c r="B30" t="str">
        <f t="shared" si="10"/>
        <v>08</v>
      </c>
      <c r="C30" s="1">
        <v>45376</v>
      </c>
      <c r="D30" t="str">
        <f>CLEAN("1009-01-33")</f>
        <v>1009-01-33</v>
      </c>
      <c r="E30" t="str">
        <f>CLEAN("290  ")</f>
        <v xml:space="preserve">290  </v>
      </c>
      <c r="F30" t="str">
        <f>CLEAN("$0 - $99,999             ")</f>
        <v xml:space="preserve">$0 - $99,999             </v>
      </c>
      <c r="G30" t="str">
        <f>CLEAN("MIS")</f>
        <v>MIS</v>
      </c>
      <c r="H30" t="str">
        <f>CLEAN("NONLET CONSTR/REAL ESTATE")</f>
        <v>NONLET CONSTR/REAL ESTATE</v>
      </c>
      <c r="I30" t="str">
        <f>CLEAN("SRTS PROGRAMING                    ")</f>
        <v xml:space="preserve">SRTS PROGRAMING                    </v>
      </c>
      <c r="J30" t="str">
        <f>CLEAN("NON HWY")</f>
        <v>NON HWY</v>
      </c>
      <c r="K30" t="str">
        <f>CLEAN("KEWAUNEE                      ")</f>
        <v xml:space="preserve">KEWAUNEE                      </v>
      </c>
      <c r="L30" t="str">
        <f>CLEAN("Algoma Schools SRTS PRogram        ")</f>
        <v xml:space="preserve">Algoma Schools SRTS PRogram        </v>
      </c>
      <c r="M30" t="str">
        <f>CLEAN("ALGOMA AREA SCHOOLS                ")</f>
        <v xml:space="preserve">ALGOMA AREA SCHOOLS                </v>
      </c>
      <c r="N30">
        <v>0</v>
      </c>
      <c r="O30" t="str">
        <f t="shared" si="6"/>
        <v xml:space="preserve">          </v>
      </c>
      <c r="P30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31" spans="1:16" x14ac:dyDescent="0.25">
      <c r="A31" t="str">
        <f t="shared" si="10"/>
        <v>08</v>
      </c>
      <c r="B31" t="str">
        <f t="shared" si="10"/>
        <v>08</v>
      </c>
      <c r="C31" s="1">
        <v>45285</v>
      </c>
      <c r="D31" t="str">
        <f>CLEAN("1009-01-36")</f>
        <v>1009-01-36</v>
      </c>
      <c r="E31" t="str">
        <f>CLEAN("290  ")</f>
        <v xml:space="preserve">290  </v>
      </c>
      <c r="F31" t="str">
        <f>CLEAN("$250,000 - $499,999      ")</f>
        <v xml:space="preserve">$250,000 - $499,999      </v>
      </c>
      <c r="G31" t="str">
        <f>CLEAN("MIS")</f>
        <v>MIS</v>
      </c>
      <c r="H31" t="str">
        <f>CLEAN("NONLET CONSTR/REAL ESTATE")</f>
        <v>NONLET CONSTR/REAL ESTATE</v>
      </c>
      <c r="I31" t="str">
        <f>CLEAN("BIKE FED SRTS                      ")</f>
        <v xml:space="preserve">BIKE FED SRTS                      </v>
      </c>
      <c r="J31" t="str">
        <f>CLEAN("NON HWY")</f>
        <v>NON HWY</v>
      </c>
      <c r="K31" t="str">
        <f>CLEAN("DANE                          ")</f>
        <v xml:space="preserve">DANE                          </v>
      </c>
      <c r="L31" t="str">
        <f>CLEAN("Bike Fed SRTS Dane Co              ")</f>
        <v xml:space="preserve">Bike Fed SRTS Dane Co              </v>
      </c>
      <c r="M31" t="str">
        <f>CLEAN("DANE CO SCHOOLS                    ")</f>
        <v xml:space="preserve">DANE CO SCHOOLS                    </v>
      </c>
      <c r="N31">
        <v>0</v>
      </c>
      <c r="O31" t="str">
        <f t="shared" si="6"/>
        <v xml:space="preserve">          </v>
      </c>
      <c r="P31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2" spans="1:16" x14ac:dyDescent="0.25">
      <c r="A32" t="str">
        <f t="shared" si="10"/>
        <v>08</v>
      </c>
      <c r="B32" t="str">
        <f t="shared" si="10"/>
        <v>08</v>
      </c>
      <c r="C32" s="1">
        <v>45285</v>
      </c>
      <c r="D32" t="str">
        <f>CLEAN("1009-01-37")</f>
        <v>1009-01-37</v>
      </c>
      <c r="E32" t="str">
        <f>CLEAN("290  ")</f>
        <v xml:space="preserve">290  </v>
      </c>
      <c r="F32" t="str">
        <f>CLEAN("$0 - $99,999             ")</f>
        <v xml:space="preserve">$0 - $99,999             </v>
      </c>
      <c r="G32" t="str">
        <f>CLEAN("MIS")</f>
        <v>MIS</v>
      </c>
      <c r="H32" t="str">
        <f>CLEAN("NONLET CONSTR/REAL ESTATE")</f>
        <v>NONLET CONSTR/REAL ESTATE</v>
      </c>
      <c r="I32" t="str">
        <f>CLEAN("SRTS PROGRAM                       ")</f>
        <v xml:space="preserve">SRTS PROGRAM                       </v>
      </c>
      <c r="J32" t="str">
        <f>CLEAN("NON HWY")</f>
        <v>NON HWY</v>
      </c>
      <c r="K32" t="str">
        <f>CLEAN("GREEN LAKE                    ")</f>
        <v xml:space="preserve">GREEN LAKE                    </v>
      </c>
      <c r="L32" t="str">
        <f>CLEAN("Green Lake SRTS Program            ")</f>
        <v xml:space="preserve">Green Lake SRTS Program            </v>
      </c>
      <c r="M32" t="str">
        <f>CLEAN("GREEN LAKE SCHOOL DISTRICT         ")</f>
        <v xml:space="preserve">GREEN LAKE SCHOOL DISTRICT         </v>
      </c>
      <c r="N32">
        <v>0</v>
      </c>
      <c r="O32" t="str">
        <f t="shared" si="6"/>
        <v xml:space="preserve">          </v>
      </c>
      <c r="P32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33" spans="1:16" x14ac:dyDescent="0.25">
      <c r="A33" t="str">
        <f t="shared" ref="A33:A42" si="11">CLEAN("10")</f>
        <v>10</v>
      </c>
      <c r="B33" t="str">
        <f>CLEAN("21")</f>
        <v>21</v>
      </c>
      <c r="C33" s="1">
        <v>45272</v>
      </c>
      <c r="D33" t="str">
        <f>CLEAN("1009-13-90")</f>
        <v>1009-13-90</v>
      </c>
      <c r="E33" t="str">
        <f>CLEAN("305  ")</f>
        <v xml:space="preserve">305  </v>
      </c>
      <c r="F33" t="str">
        <f>CLEAN("$3,000,000 - $3,999,999  ")</f>
        <v xml:space="preserve">$3,000,000 - $3,999,999  </v>
      </c>
      <c r="G33" t="str">
        <f>CLEAN("LET")</f>
        <v>LET</v>
      </c>
      <c r="H33" t="str">
        <f>CLEAN("LET CONSTRUCTION         ")</f>
        <v xml:space="preserve">LET CONSTRUCTION         </v>
      </c>
      <c r="I33" t="str">
        <f>CLEAN("CONST/EPOXY PAV'T MARKING 2024/TOPM")</f>
        <v>CONST/EPOXY PAV'T MARKING 2024/TOPM</v>
      </c>
      <c r="J33" t="str">
        <f>CLEAN("VAR HWY")</f>
        <v>VAR HWY</v>
      </c>
      <c r="K33" t="str">
        <f>CLEAN("SOUTHWEST REGION WIDE         ")</f>
        <v xml:space="preserve">SOUTHWEST REGION WIDE         </v>
      </c>
      <c r="L33" t="str">
        <f>CLEAN("SW REGION PAVEMENT MARKING         ")</f>
        <v xml:space="preserve">SW REGION PAVEMENT MARKING         </v>
      </c>
      <c r="M33" t="str">
        <f>CLEAN("STN LOCATIONS PER ANNUAL PLAN      ")</f>
        <v xml:space="preserve">STN LOCATIONS PER ANNUAL PLAN      </v>
      </c>
      <c r="N33">
        <v>119</v>
      </c>
      <c r="O33" t="str">
        <f t="shared" si="6"/>
        <v xml:space="preserve">          </v>
      </c>
      <c r="P3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4" spans="1:16" x14ac:dyDescent="0.25">
      <c r="A34" t="str">
        <f t="shared" si="11"/>
        <v>10</v>
      </c>
      <c r="B34" t="str">
        <f>CLEAN("15")</f>
        <v>15</v>
      </c>
      <c r="C34" s="1">
        <v>45316</v>
      </c>
      <c r="D34" t="str">
        <f>CLEAN("1009-22-22")</f>
        <v>1009-22-22</v>
      </c>
      <c r="E34" t="str">
        <f>CLEAN("303  ")</f>
        <v xml:space="preserve">303  </v>
      </c>
      <c r="F34" t="str">
        <f>CLEAN("$750,000 - $999,999      ")</f>
        <v xml:space="preserve">$750,000 - $999,999      </v>
      </c>
      <c r="G34" t="str">
        <f>CLEAN("R/E")</f>
        <v>R/E</v>
      </c>
      <c r="H34" t="str">
        <f>CLEAN("NONLET CONSTR/REAL ESTATE")</f>
        <v>NONLET CONSTR/REAL ESTATE</v>
      </c>
      <c r="I34" t="str">
        <f>CLEAN("RE ACQ WETLAND MITIGATION BANK     ")</f>
        <v xml:space="preserve">RE ACQ WETLAND MITIGATION BANK     </v>
      </c>
      <c r="J34" t="str">
        <f>CLEAN("LOC STR")</f>
        <v>LOC STR</v>
      </c>
      <c r="K34" t="str">
        <f>CLEAN("WASHINGTON                    ")</f>
        <v xml:space="preserve">WASHINGTON                    </v>
      </c>
      <c r="L34" t="str">
        <f>CLEAN("Leisner Bank Site RE ACQ           ")</f>
        <v xml:space="preserve">Leisner Bank Site RE ACQ           </v>
      </c>
      <c r="M34" t="str">
        <f>CLEAN("LAKE MICHIGAN T09NR20E &amp;T10NR20E   ")</f>
        <v xml:space="preserve">LAKE MICHIGAN T09NR20E &amp;T10NR20E   </v>
      </c>
      <c r="N34">
        <v>0</v>
      </c>
      <c r="O34" t="str">
        <f t="shared" si="6"/>
        <v xml:space="preserve">          </v>
      </c>
      <c r="P34" t="str">
        <f>CLEAN("WETLAND BANKING                                                                                     ")</f>
        <v xml:space="preserve">WETLAND BANKING                                                                                     </v>
      </c>
    </row>
    <row r="35" spans="1:16" x14ac:dyDescent="0.25">
      <c r="A35" t="str">
        <f t="shared" si="11"/>
        <v>10</v>
      </c>
      <c r="B35" t="str">
        <f>CLEAN("23")</f>
        <v>23</v>
      </c>
      <c r="C35" s="1">
        <v>45363</v>
      </c>
      <c r="D35" t="str">
        <f>CLEAN("1009-33-37")</f>
        <v>1009-33-37</v>
      </c>
      <c r="E35" t="str">
        <f>CLEAN("303  ")</f>
        <v xml:space="preserve">303  </v>
      </c>
      <c r="F35" t="str">
        <f>CLEAN("$250,000 - $499,999      ")</f>
        <v xml:space="preserve">$250,000 - $499,999      </v>
      </c>
      <c r="G35" t="str">
        <f>CLEAN("LET")</f>
        <v>LET</v>
      </c>
      <c r="H35" t="str">
        <f>CLEAN("LET CONSTRUCTION         ")</f>
        <v xml:space="preserve">LET CONSTRUCTION         </v>
      </c>
      <c r="I35" t="str">
        <f>CLEAN("CONSTR/BRPVTV NE REGION WIDE       ")</f>
        <v xml:space="preserve">CONSTR/BRPVTV NE REGION WIDE       </v>
      </c>
      <c r="J35" t="str">
        <f>CLEAN("VAR HWY")</f>
        <v>VAR HWY</v>
      </c>
      <c r="K35" t="str">
        <f>CLEAN("NORTHEAST REGION WIDE         ")</f>
        <v xml:space="preserve">NORTHEAST REGION WIDE         </v>
      </c>
      <c r="L35" t="str">
        <f>CLEAN("NE REGION WIDE DECK SEALING FY24   ")</f>
        <v xml:space="preserve">NE REGION WIDE DECK SEALING FY24   </v>
      </c>
      <c r="M35" t="str">
        <f>CLEAN("VARIOUS ROUTES/HWY                 ")</f>
        <v xml:space="preserve">VARIOUS ROUTES/HWY                 </v>
      </c>
      <c r="N35">
        <v>0</v>
      </c>
      <c r="O35" t="str">
        <f t="shared" si="6"/>
        <v xml:space="preserve">          </v>
      </c>
      <c r="P35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36" spans="1:16" x14ac:dyDescent="0.25">
      <c r="A36" t="str">
        <f t="shared" si="11"/>
        <v>10</v>
      </c>
      <c r="B36" t="str">
        <f>CLEAN("23")</f>
        <v>23</v>
      </c>
      <c r="C36" s="1">
        <v>45363</v>
      </c>
      <c r="D36" t="str">
        <f>CLEAN("1009-33-37")</f>
        <v>1009-33-37</v>
      </c>
      <c r="E36" t="str">
        <f>CLEAN("303  ")</f>
        <v xml:space="preserve">303  </v>
      </c>
      <c r="F36" t="str">
        <f>CLEAN("$250,000 - $499,999      ")</f>
        <v xml:space="preserve">$250,000 - $499,999      </v>
      </c>
      <c r="G36" t="str">
        <f>CLEAN("LET")</f>
        <v>LET</v>
      </c>
      <c r="H36" t="str">
        <f>CLEAN("LET CONSTRUCTION         ")</f>
        <v xml:space="preserve">LET CONSTRUCTION         </v>
      </c>
      <c r="I36" t="str">
        <f>CLEAN("CONSTR/BRPVTV NE REGION WIDE       ")</f>
        <v xml:space="preserve">CONSTR/BRPVTV NE REGION WIDE       </v>
      </c>
      <c r="J36" t="str">
        <f>CLEAN("VAR HWY")</f>
        <v>VAR HWY</v>
      </c>
      <c r="K36" t="str">
        <f>CLEAN("NORTHEAST REGION WIDE         ")</f>
        <v xml:space="preserve">NORTHEAST REGION WIDE         </v>
      </c>
      <c r="L36" t="str">
        <f>CLEAN("NE REGION WIDE DECK SEALING FY24   ")</f>
        <v xml:space="preserve">NE REGION WIDE DECK SEALING FY24   </v>
      </c>
      <c r="M36" t="str">
        <f>CLEAN("VARIOUS ROUTES/HWY                 ")</f>
        <v xml:space="preserve">VARIOUS ROUTES/HWY                 </v>
      </c>
      <c r="N36">
        <v>0</v>
      </c>
      <c r="O36" t="str">
        <f t="shared" si="6"/>
        <v xml:space="preserve">          </v>
      </c>
      <c r="P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7" spans="1:16" x14ac:dyDescent="0.25">
      <c r="A37" t="str">
        <f t="shared" si="11"/>
        <v>10</v>
      </c>
      <c r="B37" t="str">
        <f>CLEAN("23")</f>
        <v>23</v>
      </c>
      <c r="C37" s="1">
        <v>45300</v>
      </c>
      <c r="D37" t="str">
        <f>CLEAN("1009-34-36")</f>
        <v>1009-34-36</v>
      </c>
      <c r="E37" t="str">
        <f>CLEAN("305  ")</f>
        <v xml:space="preserve">305  </v>
      </c>
      <c r="F37" t="str">
        <f>CLEAN("$2,000,000 - $2,999,999  ")</f>
        <v xml:space="preserve">$2,000,000 - $2,999,999  </v>
      </c>
      <c r="G37" t="str">
        <f>CLEAN("LET")</f>
        <v>LET</v>
      </c>
      <c r="H37" t="str">
        <f>CLEAN("LET CONSTRUCTION         ")</f>
        <v xml:space="preserve">LET CONSTRUCTION         </v>
      </c>
      <c r="I37" t="str">
        <f>CLEAN("TRF OPS-PAVMT MARKING FY24         ")</f>
        <v xml:space="preserve">TRF OPS-PAVMT MARKING FY24         </v>
      </c>
      <c r="J37" t="str">
        <f>CLEAN("VAR HWY")</f>
        <v>VAR HWY</v>
      </c>
      <c r="K37" t="str">
        <f>CLEAN("NORTHEAST REGION WIDE         ")</f>
        <v xml:space="preserve">NORTHEAST REGION WIDE         </v>
      </c>
      <c r="L37" t="str">
        <f>CLEAN("EPOXY PAVEMENT MARKINGS-STH/USH    ")</f>
        <v xml:space="preserve">EPOXY PAVEMENT MARKINGS-STH/USH    </v>
      </c>
      <c r="M37" t="str">
        <f>CLEAN("LOCATIONS ON STN PER ANNUAL PLN    ")</f>
        <v xml:space="preserve">LOCATIONS ON STN PER ANNUAL PLN    </v>
      </c>
      <c r="N37">
        <v>293</v>
      </c>
      <c r="O37" t="str">
        <f t="shared" si="6"/>
        <v xml:space="preserve">          </v>
      </c>
      <c r="P3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8" spans="1:16" x14ac:dyDescent="0.25">
      <c r="A38" t="str">
        <f t="shared" si="11"/>
        <v>10</v>
      </c>
      <c r="B38" t="str">
        <f>CLEAN("23")</f>
        <v>23</v>
      </c>
      <c r="C38" s="1">
        <v>45590</v>
      </c>
      <c r="D38" t="str">
        <f>CLEAN("1009-38-18")</f>
        <v>1009-38-18</v>
      </c>
      <c r="E38" t="str">
        <f>CLEAN("303  ")</f>
        <v xml:space="preserve">303  </v>
      </c>
      <c r="F38" t="str">
        <f>CLEAN("$750,000 - $999,999      ")</f>
        <v xml:space="preserve">$750,000 - $999,999      </v>
      </c>
      <c r="G38" t="str">
        <f>CLEAN("JTP")</f>
        <v>JTP</v>
      </c>
      <c r="H38" t="str">
        <f>CLEAN("NONLET CONSTR/REAL ESTATE")</f>
        <v>NONLET CONSTR/REAL ESTATE</v>
      </c>
      <c r="I38" t="str">
        <f>CLEAN("EX-JT PAYMENT 9 OF 11 FY25         ")</f>
        <v xml:space="preserve">EX-JT PAYMENT 9 OF 11 FY25         </v>
      </c>
      <c r="J38" t="str">
        <f>CLEAN("USH 045")</f>
        <v>USH 045</v>
      </c>
      <c r="K38" t="str">
        <f>CLEAN("FOND DU LAC                   ")</f>
        <v xml:space="preserve">FOND DU LAC                   </v>
      </c>
      <c r="L38" t="str">
        <f>CLEAN("USH 45, CITY OF FOND DU LAC        ")</f>
        <v xml:space="preserve">USH 45, CITY OF FOND DU LAC        </v>
      </c>
      <c r="M38" t="str">
        <f>CLEAN("JURISDICTION PAYMENT 9 OF 11 CY24  ")</f>
        <v xml:space="preserve">JURISDICTION PAYMENT 9 OF 11 CY24  </v>
      </c>
      <c r="N38">
        <v>3.48</v>
      </c>
      <c r="O38" t="str">
        <f t="shared" si="6"/>
        <v xml:space="preserve">          </v>
      </c>
      <c r="P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9" spans="1:16" x14ac:dyDescent="0.25">
      <c r="A39" t="str">
        <f t="shared" si="11"/>
        <v>10</v>
      </c>
      <c r="B39" t="str">
        <f>CLEAN("24")</f>
        <v>24</v>
      </c>
      <c r="C39" s="1">
        <v>45468</v>
      </c>
      <c r="D39" t="str">
        <f>CLEAN("1009-40-68")</f>
        <v>1009-40-68</v>
      </c>
      <c r="E39" t="str">
        <f>CLEAN("303  ")</f>
        <v xml:space="preserve">303  </v>
      </c>
      <c r="F39" t="str">
        <f>CLEAN("$100,000-$249,999        ")</f>
        <v xml:space="preserve">$100,000-$249,999        </v>
      </c>
      <c r="G39" t="str">
        <f>CLEAN("MIS")</f>
        <v>MIS</v>
      </c>
      <c r="H39" t="str">
        <f>CLEAN("NONLET CONSTR/REAL ESTATE")</f>
        <v>NONLET CONSTR/REAL ESTATE</v>
      </c>
      <c r="I39" t="str">
        <f>CLEAN("MAINTENANCE TRANSFER PAYMENT       ")</f>
        <v xml:space="preserve">MAINTENANCE TRANSFER PAYMENT       </v>
      </c>
      <c r="J39" t="str">
        <f>CLEAN("STH 054")</f>
        <v>STH 054</v>
      </c>
      <c r="K39" t="str">
        <f>CLEAN("PORTAGE                       ")</f>
        <v xml:space="preserve">PORTAGE                       </v>
      </c>
      <c r="L39" t="str">
        <f>CLEAN("PLOVER - WAUPACA                   ")</f>
        <v xml:space="preserve">PLOVER - WAUPACA                   </v>
      </c>
      <c r="M39" t="str">
        <f>CLEAN("MAPLE DRIVE INTERSECTION           ")</f>
        <v xml:space="preserve">MAPLE DRIVE INTERSECTION           </v>
      </c>
      <c r="N39">
        <v>0</v>
      </c>
      <c r="O39" t="str">
        <f t="shared" si="6"/>
        <v xml:space="preserve">          </v>
      </c>
      <c r="P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0" spans="1:16" x14ac:dyDescent="0.25">
      <c r="A40" t="str">
        <f t="shared" si="11"/>
        <v>10</v>
      </c>
      <c r="B40" t="str">
        <f>CLEAN("24")</f>
        <v>24</v>
      </c>
      <c r="C40" s="1">
        <v>45468</v>
      </c>
      <c r="D40" t="str">
        <f>CLEAN("1009-41-37")</f>
        <v>1009-41-37</v>
      </c>
      <c r="E40" t="str">
        <f>CLEAN("303  ")</f>
        <v xml:space="preserve">303  </v>
      </c>
      <c r="F40" t="str">
        <f>CLEAN("$750,000 - $999,999      ")</f>
        <v xml:space="preserve">$750,000 - $999,999      </v>
      </c>
      <c r="G40" t="str">
        <f>CLEAN("MIS")</f>
        <v>MIS</v>
      </c>
      <c r="H40" t="str">
        <f>CLEAN("NONLET CONSTR/REAL ESTATE")</f>
        <v>NONLET CONSTR/REAL ESTATE</v>
      </c>
      <c r="I40" t="str">
        <f>CLEAN("EX-NOT FOR STIP                    ")</f>
        <v xml:space="preserve">EX-NOT FOR STIP                    </v>
      </c>
      <c r="J40" t="str">
        <f>CLEAN("VAR HWY")</f>
        <v>VAR HWY</v>
      </c>
      <c r="K40" t="str">
        <f>CLEAN("NORTH CENTRAL REGION WIDE     ")</f>
        <v xml:space="preserve">NORTH CENTRAL REGION WIDE     </v>
      </c>
      <c r="L40" t="str">
        <f>CLEAN("TECHNICAL SERVICES LEVEL OF EFFORT ")</f>
        <v xml:space="preserve">TECHNICAL SERVICES LEVEL OF EFFORT </v>
      </c>
      <c r="M40" t="str">
        <f>CLEAN("FY 2024                            ")</f>
        <v xml:space="preserve">FY 2024                            </v>
      </c>
      <c r="N40">
        <v>0</v>
      </c>
      <c r="O40" t="str">
        <f t="shared" si="6"/>
        <v xml:space="preserve">          </v>
      </c>
      <c r="P4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1" spans="1:16" x14ac:dyDescent="0.25">
      <c r="A41" t="str">
        <f t="shared" si="11"/>
        <v>10</v>
      </c>
      <c r="B41" t="str">
        <f>CLEAN("24")</f>
        <v>24</v>
      </c>
      <c r="C41" s="1">
        <v>45335</v>
      </c>
      <c r="D41" t="str">
        <f>CLEAN("1009-43-70")</f>
        <v>1009-43-70</v>
      </c>
      <c r="E41" t="str">
        <f>CLEAN("303  ")</f>
        <v xml:space="preserve">303  </v>
      </c>
      <c r="F41" t="str">
        <f>CLEAN("$250,000 - $499,999      ")</f>
        <v xml:space="preserve">$250,000 - $499,999      </v>
      </c>
      <c r="G41" t="str">
        <f>CLEAN("LET")</f>
        <v>LET</v>
      </c>
      <c r="H41" t="str">
        <f>CLEAN("LET CONSTRUCTION         ")</f>
        <v xml:space="preserve">LET CONSTRUCTION         </v>
      </c>
      <c r="I41" t="str">
        <f>CLEAN("CONST/2024 SIGN REPLACEMENTS       ")</f>
        <v xml:space="preserve">CONST/2024 SIGN REPLACEMENTS       </v>
      </c>
      <c r="J41" t="str">
        <f>CLEAN("VAR HWY")</f>
        <v>VAR HWY</v>
      </c>
      <c r="K41" t="str">
        <f>CLEAN("MARATHON                      ")</f>
        <v xml:space="preserve">MARATHON                      </v>
      </c>
      <c r="L41" t="str">
        <f>CLEAN("C WAUSAU TYPE I/II SIGN REPLACEMENT")</f>
        <v>C WAUSAU TYPE I/II SIGN REPLACEMENT</v>
      </c>
      <c r="M41" t="str">
        <f>CLEAN("LOCATIONS ON STN PER ANNUAL PLAN   ")</f>
        <v xml:space="preserve">LOCATIONS ON STN PER ANNUAL PLAN   </v>
      </c>
      <c r="N41">
        <v>0</v>
      </c>
      <c r="O41" t="str">
        <f>CLEAN("1000-20-83")</f>
        <v>1000-20-83</v>
      </c>
      <c r="P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2" spans="1:16" x14ac:dyDescent="0.25">
      <c r="A42" t="str">
        <f t="shared" si="11"/>
        <v>10</v>
      </c>
      <c r="B42" t="str">
        <f>CLEAN("24")</f>
        <v>24</v>
      </c>
      <c r="C42" s="1">
        <v>45517</v>
      </c>
      <c r="D42" t="str">
        <f>CLEAN("1009-47-63")</f>
        <v>1009-47-63</v>
      </c>
      <c r="E42" t="str">
        <f>CLEAN("303  ")</f>
        <v xml:space="preserve">303  </v>
      </c>
      <c r="F42" t="str">
        <f>CLEAN("$750,000 - $999,999      ")</f>
        <v xml:space="preserve">$750,000 - $999,999      </v>
      </c>
      <c r="G42" t="str">
        <f>CLEAN("LET")</f>
        <v>LET</v>
      </c>
      <c r="H42" t="str">
        <f>CLEAN("LET CONSTRUCTION         ")</f>
        <v xml:space="preserve">LET CONSTRUCTION         </v>
      </c>
      <c r="I42" t="str">
        <f>CLEAN("CONST/REHAB/BOX CULVERT REPAIR     ")</f>
        <v xml:space="preserve">CONST/REHAB/BOX CULVERT REPAIR     </v>
      </c>
      <c r="J42" t="str">
        <f>CLEAN("VAR HWY")</f>
        <v>VAR HWY</v>
      </c>
      <c r="K42" t="str">
        <f>CLEAN("NORTH CENTRAL REGION WIDE     ")</f>
        <v xml:space="preserve">NORTH CENTRAL REGION WIDE     </v>
      </c>
      <c r="L42" t="str">
        <f>CLEAN("REGIONWIDE BRIDGE REPAIR           ")</f>
        <v xml:space="preserve">REGIONWIDE BRIDGE REPAIR           </v>
      </c>
      <c r="M42" t="str">
        <f>CLEAN("B-37-0097 AND B-71-0002            ")</f>
        <v xml:space="preserve">B-37-0097 AND B-71-0002            </v>
      </c>
      <c r="N42">
        <v>0</v>
      </c>
      <c r="O42" t="str">
        <f t="shared" ref="O42:O61" si="12">CLEAN("          ")</f>
        <v xml:space="preserve">          </v>
      </c>
      <c r="P4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43" spans="1:16" x14ac:dyDescent="0.25">
      <c r="A43" t="str">
        <f t="shared" ref="A43:B55" si="13">CLEAN("08")</f>
        <v>08</v>
      </c>
      <c r="B43" t="str">
        <f t="shared" si="13"/>
        <v>08</v>
      </c>
      <c r="C43" s="1">
        <v>45468</v>
      </c>
      <c r="D43" t="str">
        <f>CLEAN("1009-85-30")</f>
        <v>1009-85-30</v>
      </c>
      <c r="E43" t="str">
        <f t="shared" ref="E43:E55" si="14">CLEAN("207  ")</f>
        <v xml:space="preserve">207  </v>
      </c>
      <c r="F43" t="str">
        <f t="shared" ref="F43:F55" si="15">CLEAN("$250,000 - $499,999      ")</f>
        <v xml:space="preserve">$250,000 - $499,999      </v>
      </c>
      <c r="G43" t="str">
        <f t="shared" ref="G43:G55" si="16">CLEAN("R/R")</f>
        <v>R/R</v>
      </c>
      <c r="H43" t="str">
        <f t="shared" ref="H43:H57" si="17">CLEAN("NONLET CONSTR/REAL ESTATE")</f>
        <v>NONLET CONSTR/REAL ESTATE</v>
      </c>
      <c r="I43" t="str">
        <f>CLEAN("RR OPS/SAFETY/OCR/SIGNALS &amp; GATES  ")</f>
        <v xml:space="preserve">RR OPS/SAFETY/OCR/SIGNALS &amp; GATES  </v>
      </c>
      <c r="J43" t="str">
        <f>CLEAN("CTH CC ")</f>
        <v xml:space="preserve">CTH CC </v>
      </c>
      <c r="K43" t="str">
        <f>CLEAN("DODGE                         ")</f>
        <v xml:space="preserve">DODGE                         </v>
      </c>
      <c r="L43" t="str">
        <f>CLEAN("T WESTFORD, CTH CC                 ")</f>
        <v xml:space="preserve">T WESTFORD, CTH CC                 </v>
      </c>
      <c r="M43" t="str">
        <f>CLEAN("UP X-ING 179164N                   ")</f>
        <v xml:space="preserve">UP X-ING 179164N                   </v>
      </c>
      <c r="N43">
        <v>0</v>
      </c>
      <c r="O43" t="str">
        <f t="shared" si="12"/>
        <v xml:space="preserve">          </v>
      </c>
      <c r="P43" t="str">
        <f t="shared" ref="P43:P55" si="18">CLEAN("SAFETY OCR - RAILROAD WARNING DEVICES                                                               ")</f>
        <v xml:space="preserve">SAFETY OCR - RAILROAD WARNING DEVICES                                                               </v>
      </c>
    </row>
    <row r="44" spans="1:16" x14ac:dyDescent="0.25">
      <c r="A44" t="str">
        <f t="shared" si="13"/>
        <v>08</v>
      </c>
      <c r="B44" t="str">
        <f t="shared" si="13"/>
        <v>08</v>
      </c>
      <c r="C44" s="1">
        <v>45468</v>
      </c>
      <c r="D44" t="str">
        <f>CLEAN("1009-85-31")</f>
        <v>1009-85-31</v>
      </c>
      <c r="E44" t="str">
        <f t="shared" si="14"/>
        <v xml:space="preserve">207  </v>
      </c>
      <c r="F44" t="str">
        <f t="shared" si="15"/>
        <v xml:space="preserve">$250,000 - $499,999      </v>
      </c>
      <c r="G44" t="str">
        <f t="shared" si="16"/>
        <v>R/R</v>
      </c>
      <c r="H44" t="str">
        <f t="shared" si="17"/>
        <v>NONLET CONSTR/REAL ESTATE</v>
      </c>
      <c r="I44" t="str">
        <f>CLEAN("RR OPS/SAFETY/OCR/SIGNALS &amp; GATES  ")</f>
        <v xml:space="preserve">RR OPS/SAFETY/OCR/SIGNALS &amp; GATES  </v>
      </c>
      <c r="J44" t="str">
        <f>CLEAN("LOC STR")</f>
        <v>LOC STR</v>
      </c>
      <c r="K44" t="str">
        <f>CLEAN("DANE                          ")</f>
        <v xml:space="preserve">DANE                          </v>
      </c>
      <c r="L44" t="str">
        <f>CLEAN("C STOUGHTON, SOUTH STREET          ")</f>
        <v xml:space="preserve">C STOUGHTON, SOUTH STREET          </v>
      </c>
      <c r="M44" t="str">
        <f>CLEAN("WSOR X-ING 391675D                 ")</f>
        <v xml:space="preserve">WSOR X-ING 391675D                 </v>
      </c>
      <c r="N44">
        <v>0</v>
      </c>
      <c r="O44" t="str">
        <f t="shared" si="12"/>
        <v xml:space="preserve">          </v>
      </c>
      <c r="P44" t="str">
        <f t="shared" si="18"/>
        <v xml:space="preserve">SAFETY OCR - RAILROAD WARNING DEVICES                                                               </v>
      </c>
    </row>
    <row r="45" spans="1:16" x14ac:dyDescent="0.25">
      <c r="A45" t="str">
        <f t="shared" si="13"/>
        <v>08</v>
      </c>
      <c r="B45" t="str">
        <f t="shared" si="13"/>
        <v>08</v>
      </c>
      <c r="C45" s="1">
        <v>45468</v>
      </c>
      <c r="D45" t="str">
        <f>CLEAN("1009-85-32")</f>
        <v>1009-85-32</v>
      </c>
      <c r="E45" t="str">
        <f t="shared" si="14"/>
        <v xml:space="preserve">207  </v>
      </c>
      <c r="F45" t="str">
        <f t="shared" si="15"/>
        <v xml:space="preserve">$250,000 - $499,999      </v>
      </c>
      <c r="G45" t="str">
        <f t="shared" si="16"/>
        <v>R/R</v>
      </c>
      <c r="H45" t="str">
        <f t="shared" si="17"/>
        <v>NONLET CONSTR/REAL ESTATE</v>
      </c>
      <c r="I45" t="str">
        <f>CLEAN("RR OPS/SAFETY/OCR/SIGNALS &amp; GATES  ")</f>
        <v xml:space="preserve">RR OPS/SAFETY/OCR/SIGNALS &amp; GATES  </v>
      </c>
      <c r="J45" t="str">
        <f>CLEAN("CTH TW ")</f>
        <v xml:space="preserve">CTH TW </v>
      </c>
      <c r="K45" t="str">
        <f>CLEAN("DODGE                         ")</f>
        <v xml:space="preserve">DODGE                         </v>
      </c>
      <c r="L45" t="str">
        <f>CLEAN("T HUBBARD, CTH TW                  ")</f>
        <v xml:space="preserve">T HUBBARD, CTH TW                  </v>
      </c>
      <c r="M45" t="str">
        <f>CLEAN("WSOR X-ING 387045C                 ")</f>
        <v xml:space="preserve">WSOR X-ING 387045C                 </v>
      </c>
      <c r="N45">
        <v>0</v>
      </c>
      <c r="O45" t="str">
        <f t="shared" si="12"/>
        <v xml:space="preserve">          </v>
      </c>
      <c r="P45" t="str">
        <f t="shared" si="18"/>
        <v xml:space="preserve">SAFETY OCR - RAILROAD WARNING DEVICES                                                               </v>
      </c>
    </row>
    <row r="46" spans="1:16" x14ac:dyDescent="0.25">
      <c r="A46" t="str">
        <f t="shared" si="13"/>
        <v>08</v>
      </c>
      <c r="B46" t="str">
        <f t="shared" si="13"/>
        <v>08</v>
      </c>
      <c r="C46" s="1">
        <v>45468</v>
      </c>
      <c r="D46" t="str">
        <f>CLEAN("1009-86-24")</f>
        <v>1009-86-24</v>
      </c>
      <c r="E46" t="str">
        <f t="shared" si="14"/>
        <v xml:space="preserve">207  </v>
      </c>
      <c r="F46" t="str">
        <f t="shared" si="15"/>
        <v xml:space="preserve">$250,000 - $499,999      </v>
      </c>
      <c r="G46" t="str">
        <f t="shared" si="16"/>
        <v>R/R</v>
      </c>
      <c r="H46" t="str">
        <f t="shared" si="17"/>
        <v>NONLET CONSTR/REAL ESTATE</v>
      </c>
      <c r="I46" t="str">
        <f>CLEAN("RR OPS/SAFETY/OCR SIGNALS &amp; GATES  ")</f>
        <v xml:space="preserve">RR OPS/SAFETY/OCR SIGNALS &amp; GATES  </v>
      </c>
      <c r="J46" t="str">
        <f>CLEAN("CTH F  ")</f>
        <v xml:space="preserve">CTH F  </v>
      </c>
      <c r="K46" t="str">
        <f>CLEAN("WALWORTH                      ")</f>
        <v xml:space="preserve">WALWORTH                      </v>
      </c>
      <c r="L46" t="str">
        <f>CLEAN("T DARIEN, CTH F                    ")</f>
        <v xml:space="preserve">T DARIEN, CTH F                    </v>
      </c>
      <c r="M46" t="str">
        <f>CLEAN("WSOR X-ING 388185H                 ")</f>
        <v xml:space="preserve">WSOR X-ING 388185H                 </v>
      </c>
      <c r="N46">
        <v>0</v>
      </c>
      <c r="O46" t="str">
        <f t="shared" si="12"/>
        <v xml:space="preserve">          </v>
      </c>
      <c r="P46" t="str">
        <f t="shared" si="18"/>
        <v xml:space="preserve">SAFETY OCR - RAILROAD WARNING DEVICES                                                               </v>
      </c>
    </row>
    <row r="47" spans="1:16" x14ac:dyDescent="0.25">
      <c r="A47" t="str">
        <f t="shared" si="13"/>
        <v>08</v>
      </c>
      <c r="B47" t="str">
        <f t="shared" si="13"/>
        <v>08</v>
      </c>
      <c r="C47" s="1">
        <v>45468</v>
      </c>
      <c r="D47" t="str">
        <f>CLEAN("1009-86-25")</f>
        <v>1009-86-25</v>
      </c>
      <c r="E47" t="str">
        <f t="shared" si="14"/>
        <v xml:space="preserve">207  </v>
      </c>
      <c r="F47" t="str">
        <f t="shared" si="15"/>
        <v xml:space="preserve">$250,000 - $499,999      </v>
      </c>
      <c r="G47" t="str">
        <f t="shared" si="16"/>
        <v>R/R</v>
      </c>
      <c r="H47" t="str">
        <f t="shared" si="17"/>
        <v>NONLET CONSTR/REAL ESTATE</v>
      </c>
      <c r="I47" t="str">
        <f>CLEAN("RR OPS/SAFETY/OCR/SIGNALS&amp;GATES    ")</f>
        <v xml:space="preserve">RR OPS/SAFETY/OCR/SIGNALS&amp;GATES    </v>
      </c>
      <c r="J47" t="str">
        <f>CLEAN("CTH K  ")</f>
        <v xml:space="preserve">CTH K  </v>
      </c>
      <c r="K47" t="str">
        <f>CLEAN("WALWORTH                      ")</f>
        <v xml:space="preserve">WALWORTH                      </v>
      </c>
      <c r="L47" t="str">
        <f>CLEAN("T DARIEN, CTH K                    ")</f>
        <v xml:space="preserve">T DARIEN, CTH K                    </v>
      </c>
      <c r="M47" t="str">
        <f>CLEAN("WSOR RR X-ING 388232N              ")</f>
        <v xml:space="preserve">WSOR RR X-ING 388232N              </v>
      </c>
      <c r="N47">
        <v>0</v>
      </c>
      <c r="O47" t="str">
        <f t="shared" si="12"/>
        <v xml:space="preserve">          </v>
      </c>
      <c r="P47" t="str">
        <f t="shared" si="18"/>
        <v xml:space="preserve">SAFETY OCR - RAILROAD WARNING DEVICES                                                               </v>
      </c>
    </row>
    <row r="48" spans="1:16" x14ac:dyDescent="0.25">
      <c r="A48" t="str">
        <f t="shared" si="13"/>
        <v>08</v>
      </c>
      <c r="B48" t="str">
        <f t="shared" si="13"/>
        <v>08</v>
      </c>
      <c r="C48" s="1">
        <v>45468</v>
      </c>
      <c r="D48" t="str">
        <f>CLEAN("1009-86-26")</f>
        <v>1009-86-26</v>
      </c>
      <c r="E48" t="str">
        <f t="shared" si="14"/>
        <v xml:space="preserve">207  </v>
      </c>
      <c r="F48" t="str">
        <f t="shared" si="15"/>
        <v xml:space="preserve">$250,000 - $499,999      </v>
      </c>
      <c r="G48" t="str">
        <f t="shared" si="16"/>
        <v>R/R</v>
      </c>
      <c r="H48" t="str">
        <f t="shared" si="17"/>
        <v>NONLET CONSTR/REAL ESTATE</v>
      </c>
      <c r="I48" t="str">
        <f>CLEAN("RR OPS/SAFETY/OCR/SIGNALS &amp; GATES  ")</f>
        <v xml:space="preserve">RR OPS/SAFETY/OCR/SIGNALS &amp; GATES  </v>
      </c>
      <c r="J48" t="str">
        <f>CLEAN("LOC STR")</f>
        <v>LOC STR</v>
      </c>
      <c r="K48" t="str">
        <f>CLEAN("MILWAUKEE                     ")</f>
        <v xml:space="preserve">MILWAUKEE                     </v>
      </c>
      <c r="L48" t="str">
        <f>CLEAN("C MILWAUKEE, GRANVILLE RD          ")</f>
        <v xml:space="preserve">C MILWAUKEE, GRANVILLE RD          </v>
      </c>
      <c r="M48" t="str">
        <f>CLEAN("WSOR RR X-ING 386976N              ")</f>
        <v xml:space="preserve">WSOR RR X-ING 386976N              </v>
      </c>
      <c r="N48">
        <v>0</v>
      </c>
      <c r="O48" t="str">
        <f t="shared" si="12"/>
        <v xml:space="preserve">          </v>
      </c>
      <c r="P48" t="str">
        <f t="shared" si="18"/>
        <v xml:space="preserve">SAFETY OCR - RAILROAD WARNING DEVICES                                                               </v>
      </c>
    </row>
    <row r="49" spans="1:16" x14ac:dyDescent="0.25">
      <c r="A49" t="str">
        <f t="shared" si="13"/>
        <v>08</v>
      </c>
      <c r="B49" t="str">
        <f t="shared" si="13"/>
        <v>08</v>
      </c>
      <c r="C49" s="1">
        <v>45468</v>
      </c>
      <c r="D49" t="str">
        <f>CLEAN("1009-86-27")</f>
        <v>1009-86-27</v>
      </c>
      <c r="E49" t="str">
        <f t="shared" si="14"/>
        <v xml:space="preserve">207  </v>
      </c>
      <c r="F49" t="str">
        <f t="shared" si="15"/>
        <v xml:space="preserve">$250,000 - $499,999      </v>
      </c>
      <c r="G49" t="str">
        <f t="shared" si="16"/>
        <v>R/R</v>
      </c>
      <c r="H49" t="str">
        <f t="shared" si="17"/>
        <v>NONLET CONSTR/REAL ESTATE</v>
      </c>
      <c r="I49" t="str">
        <f>CLEAN("RR OPS/SAFETY/OCR/SIGNALS&amp;GATES    ")</f>
        <v xml:space="preserve">RR OPS/SAFETY/OCR/SIGNALS&amp;GATES    </v>
      </c>
      <c r="J49" t="str">
        <f>CLEAN("LOC STR")</f>
        <v>LOC STR</v>
      </c>
      <c r="K49" t="str">
        <f>CLEAN("WAUKESHA                      ")</f>
        <v xml:space="preserve">WAUKESHA                      </v>
      </c>
      <c r="L49" t="str">
        <f>CLEAN("V EAGLE, PARTRIDGE ST              ")</f>
        <v xml:space="preserve">V EAGLE, PARTRIDGE ST              </v>
      </c>
      <c r="M49" t="str">
        <f>CLEAN("WSOR RR X-ING 391559P              ")</f>
        <v xml:space="preserve">WSOR RR X-ING 391559P              </v>
      </c>
      <c r="N49">
        <v>0</v>
      </c>
      <c r="O49" t="str">
        <f t="shared" si="12"/>
        <v xml:space="preserve">          </v>
      </c>
      <c r="P49" t="str">
        <f t="shared" si="18"/>
        <v xml:space="preserve">SAFETY OCR - RAILROAD WARNING DEVICES                                                               </v>
      </c>
    </row>
    <row r="50" spans="1:16" x14ac:dyDescent="0.25">
      <c r="A50" t="str">
        <f t="shared" si="13"/>
        <v>08</v>
      </c>
      <c r="B50" t="str">
        <f t="shared" si="13"/>
        <v>08</v>
      </c>
      <c r="C50" s="1">
        <v>45468</v>
      </c>
      <c r="D50" t="str">
        <f>CLEAN("1009-86-30")</f>
        <v>1009-86-30</v>
      </c>
      <c r="E50" t="str">
        <f t="shared" si="14"/>
        <v xml:space="preserve">207  </v>
      </c>
      <c r="F50" t="str">
        <f t="shared" si="15"/>
        <v xml:space="preserve">$250,000 - $499,999      </v>
      </c>
      <c r="G50" t="str">
        <f t="shared" si="16"/>
        <v>R/R</v>
      </c>
      <c r="H50" t="str">
        <f t="shared" si="17"/>
        <v>NONLET CONSTR/REAL ESTATE</v>
      </c>
      <c r="I50" t="str">
        <f>CLEAN("RR OPS/SAFETY/OCR/SIGNALS&amp;GATES    ")</f>
        <v xml:space="preserve">RR OPS/SAFETY/OCR/SIGNALS&amp;GATES    </v>
      </c>
      <c r="J50" t="str">
        <f>CLEAN("LOC STR")</f>
        <v>LOC STR</v>
      </c>
      <c r="K50" t="str">
        <f>CLEAN("WAUKESHA                      ")</f>
        <v xml:space="preserve">WAUKESHA                      </v>
      </c>
      <c r="L50" t="str">
        <f>CLEAN("V EAGLE, SHERMAN ST                ")</f>
        <v xml:space="preserve">V EAGLE, SHERMAN ST                </v>
      </c>
      <c r="M50" t="str">
        <f>CLEAN("WSOR RR X-ING 391558H              ")</f>
        <v xml:space="preserve">WSOR RR X-ING 391558H              </v>
      </c>
      <c r="N50">
        <v>0</v>
      </c>
      <c r="O50" t="str">
        <f t="shared" si="12"/>
        <v xml:space="preserve">          </v>
      </c>
      <c r="P50" t="str">
        <f t="shared" si="18"/>
        <v xml:space="preserve">SAFETY OCR - RAILROAD WARNING DEVICES                                                               </v>
      </c>
    </row>
    <row r="51" spans="1:16" x14ac:dyDescent="0.25">
      <c r="A51" t="str">
        <f t="shared" si="13"/>
        <v>08</v>
      </c>
      <c r="B51" t="str">
        <f t="shared" si="13"/>
        <v>08</v>
      </c>
      <c r="C51" s="1">
        <v>45468</v>
      </c>
      <c r="D51" t="str">
        <f>CLEAN("1009-87-10")</f>
        <v>1009-87-10</v>
      </c>
      <c r="E51" t="str">
        <f t="shared" si="14"/>
        <v xml:space="preserve">207  </v>
      </c>
      <c r="F51" t="str">
        <f t="shared" si="15"/>
        <v xml:space="preserve">$250,000 - $499,999      </v>
      </c>
      <c r="G51" t="str">
        <f t="shared" si="16"/>
        <v>R/R</v>
      </c>
      <c r="H51" t="str">
        <f t="shared" si="17"/>
        <v>NONLET CONSTR/REAL ESTATE</v>
      </c>
      <c r="I51" t="str">
        <f>CLEAN("RR OPS/SAFETY/OCR/SIGNALS &amp; GATES  ")</f>
        <v xml:space="preserve">RR OPS/SAFETY/OCR/SIGNALS &amp; GATES  </v>
      </c>
      <c r="J51" t="str">
        <f>CLEAN("LOC STR")</f>
        <v>LOC STR</v>
      </c>
      <c r="K51" t="str">
        <f>CLEAN("SHEBOYGAN                     ")</f>
        <v xml:space="preserve">SHEBOYGAN                     </v>
      </c>
      <c r="L51" t="str">
        <f>CLEAN("C PLYMOUTH, CTH O (SOUTH ST)       ")</f>
        <v xml:space="preserve">C PLYMOUTH, CTH O (SOUTH ST)       </v>
      </c>
      <c r="M51" t="str">
        <f>CLEAN("WSOR X-ING 180332N                 ")</f>
        <v xml:space="preserve">WSOR X-ING 180332N                 </v>
      </c>
      <c r="N51">
        <v>0</v>
      </c>
      <c r="O51" t="str">
        <f t="shared" si="12"/>
        <v xml:space="preserve">          </v>
      </c>
      <c r="P51" t="str">
        <f t="shared" si="18"/>
        <v xml:space="preserve">SAFETY OCR - RAILROAD WARNING DEVICES                                                               </v>
      </c>
    </row>
    <row r="52" spans="1:16" x14ac:dyDescent="0.25">
      <c r="A52" t="str">
        <f t="shared" si="13"/>
        <v>08</v>
      </c>
      <c r="B52" t="str">
        <f t="shared" si="13"/>
        <v>08</v>
      </c>
      <c r="C52" s="1">
        <v>45468</v>
      </c>
      <c r="D52" t="str">
        <f>CLEAN("1009-89-21")</f>
        <v>1009-89-21</v>
      </c>
      <c r="E52" t="str">
        <f t="shared" si="14"/>
        <v xml:space="preserve">207  </v>
      </c>
      <c r="F52" t="str">
        <f t="shared" si="15"/>
        <v xml:space="preserve">$250,000 - $499,999      </v>
      </c>
      <c r="G52" t="str">
        <f t="shared" si="16"/>
        <v>R/R</v>
      </c>
      <c r="H52" t="str">
        <f t="shared" si="17"/>
        <v>NONLET CONSTR/REAL ESTATE</v>
      </c>
      <c r="I52" t="str">
        <f>CLEAN("RR OPS/SAFETY/OCR/SIGNALS &amp; GATES  ")</f>
        <v xml:space="preserve">RR OPS/SAFETY/OCR/SIGNALS &amp; GATES  </v>
      </c>
      <c r="J52" t="str">
        <f>CLEAN("CTH V  ")</f>
        <v xml:space="preserve">CTH V  </v>
      </c>
      <c r="K52" t="str">
        <f>CLEAN("EAU CLAIRE                    ")</f>
        <v xml:space="preserve">EAU CLAIRE                    </v>
      </c>
      <c r="L52" t="str">
        <f>CLEAN("T OF LINCOLN, CTH V                ")</f>
        <v xml:space="preserve">T OF LINCOLN, CTH V                </v>
      </c>
      <c r="M52" t="str">
        <f>CLEAN("UP X-ING, FRA 183972Y              ")</f>
        <v xml:space="preserve">UP X-ING, FRA 183972Y              </v>
      </c>
      <c r="N52">
        <v>0</v>
      </c>
      <c r="O52" t="str">
        <f t="shared" si="12"/>
        <v xml:space="preserve">          </v>
      </c>
      <c r="P52" t="str">
        <f t="shared" si="18"/>
        <v xml:space="preserve">SAFETY OCR - RAILROAD WARNING DEVICES                                                               </v>
      </c>
    </row>
    <row r="53" spans="1:16" x14ac:dyDescent="0.25">
      <c r="A53" t="str">
        <f t="shared" si="13"/>
        <v>08</v>
      </c>
      <c r="B53" t="str">
        <f t="shared" si="13"/>
        <v>08</v>
      </c>
      <c r="C53" s="1">
        <v>45468</v>
      </c>
      <c r="D53" t="str">
        <f>CLEAN("1009-89-22")</f>
        <v>1009-89-22</v>
      </c>
      <c r="E53" t="str">
        <f t="shared" si="14"/>
        <v xml:space="preserve">207  </v>
      </c>
      <c r="F53" t="str">
        <f t="shared" si="15"/>
        <v xml:space="preserve">$250,000 - $499,999      </v>
      </c>
      <c r="G53" t="str">
        <f t="shared" si="16"/>
        <v>R/R</v>
      </c>
      <c r="H53" t="str">
        <f t="shared" si="17"/>
        <v>NONLET CONSTR/REAL ESTATE</v>
      </c>
      <c r="I53" t="str">
        <f>CLEAN("RR OPS/SAFETY/OCR/SIGNALS &amp; GATES  ")</f>
        <v xml:space="preserve">RR OPS/SAFETY/OCR/SIGNALS &amp; GATES  </v>
      </c>
      <c r="J53" t="str">
        <f>CLEAN("CTH Q  ")</f>
        <v xml:space="preserve">CTH Q  </v>
      </c>
      <c r="K53" t="str">
        <f>CLEAN("DUNN                          ")</f>
        <v xml:space="preserve">DUNN                          </v>
      </c>
      <c r="L53" t="str">
        <f>CLEAN("V DOWNING, CTH Q                   ")</f>
        <v xml:space="preserve">V DOWNING, CTH Q                   </v>
      </c>
      <c r="M53" t="str">
        <f>CLEAN("WCL RR X-ING 693005W               ")</f>
        <v xml:space="preserve">WCL RR X-ING 693005W               </v>
      </c>
      <c r="N53">
        <v>0</v>
      </c>
      <c r="O53" t="str">
        <f t="shared" si="12"/>
        <v xml:space="preserve">          </v>
      </c>
      <c r="P53" t="str">
        <f t="shared" si="18"/>
        <v xml:space="preserve">SAFETY OCR - RAILROAD WARNING DEVICES                                                               </v>
      </c>
    </row>
    <row r="54" spans="1:16" x14ac:dyDescent="0.25">
      <c r="A54" t="str">
        <f t="shared" si="13"/>
        <v>08</v>
      </c>
      <c r="B54" t="str">
        <f t="shared" si="13"/>
        <v>08</v>
      </c>
      <c r="C54" s="1">
        <v>45468</v>
      </c>
      <c r="D54" t="str">
        <f>CLEAN("1009-89-23")</f>
        <v>1009-89-23</v>
      </c>
      <c r="E54" t="str">
        <f t="shared" si="14"/>
        <v xml:space="preserve">207  </v>
      </c>
      <c r="F54" t="str">
        <f t="shared" si="15"/>
        <v xml:space="preserve">$250,000 - $499,999      </v>
      </c>
      <c r="G54" t="str">
        <f t="shared" si="16"/>
        <v>R/R</v>
      </c>
      <c r="H54" t="str">
        <f t="shared" si="17"/>
        <v>NONLET CONSTR/REAL ESTATE</v>
      </c>
      <c r="I54" t="str">
        <f>CLEAN("RR OPS/SAFETY/OCR/SIGNALS &amp; GATES  ")</f>
        <v xml:space="preserve">RR OPS/SAFETY/OCR/SIGNALS &amp; GATES  </v>
      </c>
      <c r="J54" t="str">
        <f>CLEAN("LOC STR")</f>
        <v>LOC STR</v>
      </c>
      <c r="K54" t="str">
        <f>CLEAN("ST. CROIX                     ")</f>
        <v xml:space="preserve">ST. CROIX                     </v>
      </c>
      <c r="L54" t="str">
        <f>CLEAN("V WILSON                           ")</f>
        <v xml:space="preserve">V WILSON                           </v>
      </c>
      <c r="M54" t="str">
        <f>CLEAN("UP X-ING, FRA 183881T              ")</f>
        <v xml:space="preserve">UP X-ING, FRA 183881T              </v>
      </c>
      <c r="N54">
        <v>0</v>
      </c>
      <c r="O54" t="str">
        <f t="shared" si="12"/>
        <v xml:space="preserve">          </v>
      </c>
      <c r="P54" t="str">
        <f t="shared" si="18"/>
        <v xml:space="preserve">SAFETY OCR - RAILROAD WARNING DEVICES                                                               </v>
      </c>
    </row>
    <row r="55" spans="1:16" x14ac:dyDescent="0.25">
      <c r="A55" t="str">
        <f t="shared" si="13"/>
        <v>08</v>
      </c>
      <c r="B55" t="str">
        <f t="shared" si="13"/>
        <v>08</v>
      </c>
      <c r="C55" s="1">
        <v>45468</v>
      </c>
      <c r="D55" t="str">
        <f>CLEAN("1009-89-24")</f>
        <v>1009-89-24</v>
      </c>
      <c r="E55" t="str">
        <f t="shared" si="14"/>
        <v xml:space="preserve">207  </v>
      </c>
      <c r="F55" t="str">
        <f t="shared" si="15"/>
        <v xml:space="preserve">$250,000 - $499,999      </v>
      </c>
      <c r="G55" t="str">
        <f t="shared" si="16"/>
        <v>R/R</v>
      </c>
      <c r="H55" t="str">
        <f t="shared" si="17"/>
        <v>NONLET CONSTR/REAL ESTATE</v>
      </c>
      <c r="I55" t="str">
        <f>CLEAN("RR OPS/SAFETY/OCR/SIGNALS &amp; GATES  ")</f>
        <v xml:space="preserve">RR OPS/SAFETY/OCR/SIGNALS &amp; GATES  </v>
      </c>
      <c r="J55" t="str">
        <f>CLEAN("CTH AF ")</f>
        <v xml:space="preserve">CTH AF </v>
      </c>
      <c r="K55" t="str">
        <f>CLEAN("EAU CLAIRE                    ")</f>
        <v xml:space="preserve">EAU CLAIRE                    </v>
      </c>
      <c r="L55" t="str">
        <f>CLEAN("T BRIDGE CREEK, CTH AF             ")</f>
        <v xml:space="preserve">T BRIDGE CREEK, CTH AF             </v>
      </c>
      <c r="M55" t="str">
        <f>CLEAN("UP X-ING, FRA 183974M              ")</f>
        <v xml:space="preserve">UP X-ING, FRA 183974M              </v>
      </c>
      <c r="N55">
        <v>0</v>
      </c>
      <c r="O55" t="str">
        <f t="shared" si="12"/>
        <v xml:space="preserve">          </v>
      </c>
      <c r="P55" t="str">
        <f t="shared" si="18"/>
        <v xml:space="preserve">SAFETY OCR - RAILROAD WARNING DEVICES                                                               </v>
      </c>
    </row>
    <row r="56" spans="1:16" x14ac:dyDescent="0.25">
      <c r="A56" t="str">
        <f t="shared" ref="A56:A119" si="19">CLEAN("10")</f>
        <v>10</v>
      </c>
      <c r="B56" t="str">
        <f t="shared" ref="B56:B64" si="20">CLEAN("21")</f>
        <v>21</v>
      </c>
      <c r="C56" s="1">
        <v>45498</v>
      </c>
      <c r="D56" t="str">
        <f>CLEAN("1010-10-42")</f>
        <v>1010-10-42</v>
      </c>
      <c r="E56" t="str">
        <f>CLEAN("302  ")</f>
        <v xml:space="preserve">302  </v>
      </c>
      <c r="F56" t="str">
        <f>CLEAN("$0 - $99,999             ")</f>
        <v xml:space="preserve">$0 - $99,999             </v>
      </c>
      <c r="G56" t="str">
        <f>CLEAN("UTL")</f>
        <v>UTL</v>
      </c>
      <c r="H56" t="str">
        <f t="shared" si="17"/>
        <v>NONLET CONSTR/REAL ESTATE</v>
      </c>
      <c r="I56" t="str">
        <f>CLEAN("UTL/CONST 1010-10-82/BRRPLE        ")</f>
        <v xml:space="preserve">UTL/CONST 1010-10-82/BRRPLE        </v>
      </c>
      <c r="J56" t="str">
        <f>CLEAN("IH  039")</f>
        <v>IH  039</v>
      </c>
      <c r="K56" t="str">
        <f>CLEAN("COLUMBIA                      ")</f>
        <v xml:space="preserve">COLUMBIA                      </v>
      </c>
      <c r="L56" t="str">
        <f>CLEAN("MADISON - PORTAGE                  ")</f>
        <v xml:space="preserve">MADISON - PORTAGE                  </v>
      </c>
      <c r="M56" t="str">
        <f>CLEAN("WISCONSIN RIVER BRIDGES B-11-22/23 ")</f>
        <v xml:space="preserve">WISCONSIN RIVER BRIDGES B-11-22/23 </v>
      </c>
      <c r="N56">
        <v>1.2</v>
      </c>
      <c r="O56" t="str">
        <f t="shared" si="12"/>
        <v xml:space="preserve">          </v>
      </c>
      <c r="P56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57" spans="1:16" x14ac:dyDescent="0.25">
      <c r="A57" t="str">
        <f t="shared" si="19"/>
        <v>10</v>
      </c>
      <c r="B57" t="str">
        <f t="shared" si="20"/>
        <v>21</v>
      </c>
      <c r="C57" s="1">
        <v>45285</v>
      </c>
      <c r="D57" t="str">
        <f>CLEAN("1010-10-43")</f>
        <v>1010-10-43</v>
      </c>
      <c r="E57" t="str">
        <f>CLEAN("302  ")</f>
        <v xml:space="preserve">302  </v>
      </c>
      <c r="F57" t="str">
        <f>CLEAN("$100,000-$249,999        ")</f>
        <v xml:space="preserve">$100,000-$249,999        </v>
      </c>
      <c r="G57" t="str">
        <f>CLEAN("UTL")</f>
        <v>UTL</v>
      </c>
      <c r="H57" t="str">
        <f t="shared" si="17"/>
        <v>NONLET CONSTR/REAL ESTATE</v>
      </c>
      <c r="I57" t="str">
        <f>CLEAN("UTL-ALLIANT ELEC/1010-10-82/BRRPLE ")</f>
        <v xml:space="preserve">UTL-ALLIANT ELEC/1010-10-82/BRRPLE </v>
      </c>
      <c r="J57" t="str">
        <f>CLEAN("IH  039")</f>
        <v>IH  039</v>
      </c>
      <c r="K57" t="str">
        <f>CLEAN("COLUMBIA                      ")</f>
        <v xml:space="preserve">COLUMBIA                      </v>
      </c>
      <c r="L57" t="str">
        <f>CLEAN("MADISON - PORTAGE                  ")</f>
        <v xml:space="preserve">MADISON - PORTAGE                  </v>
      </c>
      <c r="M57" t="str">
        <f>CLEAN("WISCONSIN RIVER BRIDGES B-11-22/23 ")</f>
        <v xml:space="preserve">WISCONSIN RIVER BRIDGES B-11-22/23 </v>
      </c>
      <c r="N57">
        <v>1.2</v>
      </c>
      <c r="O57" t="str">
        <f t="shared" si="12"/>
        <v xml:space="preserve">          </v>
      </c>
      <c r="P57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58" spans="1:16" x14ac:dyDescent="0.25">
      <c r="A58" t="str">
        <f t="shared" si="19"/>
        <v>10</v>
      </c>
      <c r="B58" t="str">
        <f t="shared" si="20"/>
        <v>21</v>
      </c>
      <c r="C58" s="1">
        <v>45391</v>
      </c>
      <c r="D58" t="str">
        <f>CLEAN("1010-10-82")</f>
        <v>1010-10-82</v>
      </c>
      <c r="E58" t="str">
        <f>CLEAN("302  ")</f>
        <v xml:space="preserve">302  </v>
      </c>
      <c r="F58" t="str">
        <f>CLEAN("$100 MILLION OR GREATER  ")</f>
        <v xml:space="preserve">$100 MILLION OR GREATER  </v>
      </c>
      <c r="G58" t="str">
        <f>CLEAN("LET")</f>
        <v>LET</v>
      </c>
      <c r="H58" t="str">
        <f>CLEAN("LET CONSTRUCTION         ")</f>
        <v xml:space="preserve">LET CONSTRUCTION         </v>
      </c>
      <c r="I58" t="str">
        <f>CLEAN("CONST/B-11-182,183,184,185/BRRPLE  ")</f>
        <v xml:space="preserve">CONST/B-11-182,183,184,185/BRRPLE  </v>
      </c>
      <c r="J58" t="str">
        <f>CLEAN("IH  039")</f>
        <v>IH  039</v>
      </c>
      <c r="K58" t="str">
        <f>CLEAN("COLUMBIA                      ")</f>
        <v xml:space="preserve">COLUMBIA                      </v>
      </c>
      <c r="L58" t="str">
        <f>CLEAN("MADISON - PORTAGE                  ")</f>
        <v xml:space="preserve">MADISON - PORTAGE                  </v>
      </c>
      <c r="M58" t="str">
        <f>CLEAN("WISCONSIN RIVER BRIDGES            ")</f>
        <v xml:space="preserve">WISCONSIN RIVER BRIDGES            </v>
      </c>
      <c r="N58">
        <v>1.2</v>
      </c>
      <c r="O58" t="str">
        <f t="shared" si="12"/>
        <v xml:space="preserve">          </v>
      </c>
      <c r="P58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59" spans="1:16" x14ac:dyDescent="0.25">
      <c r="A59" t="str">
        <f t="shared" si="19"/>
        <v>10</v>
      </c>
      <c r="B59" t="str">
        <f t="shared" si="20"/>
        <v>21</v>
      </c>
      <c r="C59" s="1">
        <v>45285</v>
      </c>
      <c r="D59" t="str">
        <f>CLEAN("1010-10-83")</f>
        <v>1010-10-83</v>
      </c>
      <c r="E59" t="str">
        <f>CLEAN("302  ")</f>
        <v xml:space="preserve">302  </v>
      </c>
      <c r="F59" t="str">
        <f>CLEAN("$0 - $99,999             ")</f>
        <v xml:space="preserve">$0 - $99,999             </v>
      </c>
      <c r="G59" t="str">
        <f>CLEAN("MIS")</f>
        <v>MIS</v>
      </c>
      <c r="H59" t="str">
        <f>CLEAN("NONLET CONSTR/REAL ESTATE")</f>
        <v>NONLET CONSTR/REAL ESTATE</v>
      </c>
      <c r="I59" t="str">
        <f>CLEAN("TOIP PARTICIPATING/1010-10-82/MISC ")</f>
        <v xml:space="preserve">TOIP PARTICIPATING/1010-10-82/MISC </v>
      </c>
      <c r="J59" t="str">
        <f>CLEAN("IH  039")</f>
        <v>IH  039</v>
      </c>
      <c r="K59" t="str">
        <f>CLEAN("COLUMBIA                      ")</f>
        <v xml:space="preserve">COLUMBIA                      </v>
      </c>
      <c r="L59" t="str">
        <f>CLEAN("MADISON - PORTAGE                  ")</f>
        <v xml:space="preserve">MADISON - PORTAGE                  </v>
      </c>
      <c r="M59" t="str">
        <f>CLEAN("WISCONSIN RIVER BRIDGES            ")</f>
        <v xml:space="preserve">WISCONSIN RIVER BRIDGES            </v>
      </c>
      <c r="N59">
        <v>1.2</v>
      </c>
      <c r="O59" t="str">
        <f t="shared" si="12"/>
        <v xml:space="preserve">          </v>
      </c>
      <c r="P59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0" spans="1:16" x14ac:dyDescent="0.25">
      <c r="A60" t="str">
        <f t="shared" si="19"/>
        <v>10</v>
      </c>
      <c r="B60" t="str">
        <f t="shared" si="20"/>
        <v>21</v>
      </c>
      <c r="C60" s="1">
        <v>45426</v>
      </c>
      <c r="D60" t="str">
        <f>CLEAN("1011-00-82")</f>
        <v>1011-00-82</v>
      </c>
      <c r="E60" t="str">
        <f t="shared" ref="E60:E103" si="21">CLEAN("303  ")</f>
        <v xml:space="preserve">303  </v>
      </c>
      <c r="F60" t="str">
        <f>CLEAN("$5,000,000 - $5,999,999  ")</f>
        <v xml:space="preserve">$5,000,000 - $5,999,999  </v>
      </c>
      <c r="G60" t="str">
        <f>CLEAN("LET")</f>
        <v>LET</v>
      </c>
      <c r="H60" t="str">
        <f>CLEAN("LET CONSTRUCTION         ")</f>
        <v xml:space="preserve">LET CONSTRUCTION         </v>
      </c>
      <c r="I60" t="str">
        <f>CLEAN("CONST/RESURF ALL SB; PART NB/RSRF30")</f>
        <v>CONST/RESURF ALL SB; PART NB/RSRF30</v>
      </c>
      <c r="J60" t="str">
        <f>CLEAN("IH  039")</f>
        <v>IH  039</v>
      </c>
      <c r="K60" t="str">
        <f>CLEAN("COLUMBIA                      ")</f>
        <v xml:space="preserve">COLUMBIA                      </v>
      </c>
      <c r="L60" t="str">
        <f>CLEAN("MADISON - PORTAGE                  ")</f>
        <v xml:space="preserve">MADISON - PORTAGE                  </v>
      </c>
      <c r="M60" t="str">
        <f>CLEAN("SOUTH COUNTY LINE TO STH 60        ")</f>
        <v xml:space="preserve">SOUTH COUNTY LINE TO STH 60        </v>
      </c>
      <c r="N60">
        <v>0.46700000000000003</v>
      </c>
      <c r="O60" t="str">
        <f t="shared" si="12"/>
        <v xml:space="preserve">          </v>
      </c>
      <c r="P60" t="str">
        <f t="shared" ref="P60:P65" si="22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61" spans="1:16" x14ac:dyDescent="0.25">
      <c r="A61" t="str">
        <f t="shared" si="19"/>
        <v>10</v>
      </c>
      <c r="B61" t="str">
        <f t="shared" si="20"/>
        <v>21</v>
      </c>
      <c r="C61" s="1">
        <v>45316</v>
      </c>
      <c r="D61" t="str">
        <f>CLEAN("1014-00-95")</f>
        <v>1014-00-95</v>
      </c>
      <c r="E61" t="str">
        <f t="shared" si="21"/>
        <v xml:space="preserve">303  </v>
      </c>
      <c r="F61" t="str">
        <f>CLEAN("$100,000-$249,999        ")</f>
        <v xml:space="preserve">$100,000-$249,999        </v>
      </c>
      <c r="G61" t="str">
        <f>CLEAN("SFA")</f>
        <v>SFA</v>
      </c>
      <c r="H61" t="str">
        <f>CLEAN("NONLET CONSTR/REAL ESTATE")</f>
        <v>NONLET CONSTR/REAL ESTATE</v>
      </c>
      <c r="I61" t="str">
        <f>CLEAN("TRF MIT 1014-00-75                 ")</f>
        <v xml:space="preserve">TRF MIT 1014-00-75                 </v>
      </c>
      <c r="J61" t="str">
        <f>CLEAN("IH  090")</f>
        <v>IH  090</v>
      </c>
      <c r="K61" t="str">
        <f>CLEAN("SAUK                          ")</f>
        <v xml:space="preserve">SAUK                          </v>
      </c>
      <c r="L61" t="str">
        <f>CLEAN("USH 12 TO STH 23                   ")</f>
        <v xml:space="preserve">USH 12 TO STH 23                   </v>
      </c>
      <c r="M61" t="str">
        <f>CLEAN("MAUSTON - WISCONSIN DELLS          ")</f>
        <v xml:space="preserve">MAUSTON - WISCONSIN DELLS          </v>
      </c>
      <c r="N61">
        <v>4.26</v>
      </c>
      <c r="O61" t="str">
        <f t="shared" si="12"/>
        <v xml:space="preserve">          </v>
      </c>
      <c r="P61" t="str">
        <f t="shared" si="22"/>
        <v xml:space="preserve">BACKBONE                                                                                            </v>
      </c>
    </row>
    <row r="62" spans="1:16" x14ac:dyDescent="0.25">
      <c r="A62" t="str">
        <f t="shared" si="19"/>
        <v>10</v>
      </c>
      <c r="B62" t="str">
        <f t="shared" si="20"/>
        <v>21</v>
      </c>
      <c r="C62" s="1">
        <v>45636</v>
      </c>
      <c r="D62" t="str">
        <f>CLEAN("1016-04-63")</f>
        <v>1016-04-63</v>
      </c>
      <c r="E62" t="str">
        <f t="shared" si="21"/>
        <v xml:space="preserve">303  </v>
      </c>
      <c r="F62" t="str">
        <f>CLEAN("$250,000 - $499,999      ")</f>
        <v xml:space="preserve">$250,000 - $499,999      </v>
      </c>
      <c r="G62" t="str">
        <f>CLEAN("LET")</f>
        <v>LET</v>
      </c>
      <c r="H62" t="str">
        <f>CLEAN("LET CONSTRUCTION         ")</f>
        <v xml:space="preserve">LET CONSTRUCTION         </v>
      </c>
      <c r="I62" t="str">
        <f>CLEAN("CONST/EPOXY INJECTION/BRPVTV       ")</f>
        <v xml:space="preserve">CONST/EPOXY INJECTION/BRPVTV       </v>
      </c>
      <c r="J62" t="str">
        <f>CLEAN("IH  090")</f>
        <v>IH  090</v>
      </c>
      <c r="K62" t="str">
        <f>CLEAN("JUNEAU                        ")</f>
        <v xml:space="preserve">JUNEAU                        </v>
      </c>
      <c r="L62" t="str">
        <f>CLEAN("TOMAH - MAUSTON                    ")</f>
        <v xml:space="preserve">TOMAH - MAUSTON                    </v>
      </c>
      <c r="M62" t="str">
        <f>CLEAN("CTH M BRIDGES B-29-48 &amp; B-29-49    ")</f>
        <v xml:space="preserve">CTH M BRIDGES B-29-48 &amp; B-29-49    </v>
      </c>
      <c r="N62">
        <v>0</v>
      </c>
      <c r="O62" t="str">
        <f>CLEAN("1016-05-65")</f>
        <v>1016-05-65</v>
      </c>
      <c r="P62" t="str">
        <f t="shared" si="22"/>
        <v xml:space="preserve">BACKBONE                                                                                            </v>
      </c>
    </row>
    <row r="63" spans="1:16" x14ac:dyDescent="0.25">
      <c r="A63" t="str">
        <f t="shared" si="19"/>
        <v>10</v>
      </c>
      <c r="B63" t="str">
        <f t="shared" si="20"/>
        <v>21</v>
      </c>
      <c r="C63" s="1">
        <v>45636</v>
      </c>
      <c r="D63" t="str">
        <f>CLEAN("1016-05-65")</f>
        <v>1016-05-65</v>
      </c>
      <c r="E63" t="str">
        <f t="shared" si="21"/>
        <v xml:space="preserve">303  </v>
      </c>
      <c r="F63" t="str">
        <f>CLEAN("$250,000 - $499,999      ")</f>
        <v xml:space="preserve">$250,000 - $499,999      </v>
      </c>
      <c r="G63" t="str">
        <f>CLEAN("LET")</f>
        <v>LET</v>
      </c>
      <c r="H63" t="str">
        <f>CLEAN("LET CONSTRUCTION         ")</f>
        <v xml:space="preserve">LET CONSTRUCTION         </v>
      </c>
      <c r="I63" t="str">
        <f>CLEAN("CONST/SEAL DECK/BRPVTV             ")</f>
        <v xml:space="preserve">CONST/SEAL DECK/BRPVTV             </v>
      </c>
      <c r="J63" t="str">
        <f>CLEAN("IH  090")</f>
        <v>IH  090</v>
      </c>
      <c r="K63" t="str">
        <f>CLEAN("JUNEAU                        ")</f>
        <v xml:space="preserve">JUNEAU                        </v>
      </c>
      <c r="L63" t="str">
        <f>CLEAN("TOMAH - MAUSTON                    ")</f>
        <v xml:space="preserve">TOMAH - MAUSTON                    </v>
      </c>
      <c r="M63" t="str">
        <f>CLEAN("43RD ST W BRIDGES B-29-41 &amp; B-29-42")</f>
        <v>43RD ST W BRIDGES B-29-41 &amp; B-29-42</v>
      </c>
      <c r="N63">
        <v>0</v>
      </c>
      <c r="O63" t="str">
        <f>CLEAN("1016-04-63")</f>
        <v>1016-04-63</v>
      </c>
      <c r="P63" t="str">
        <f t="shared" si="22"/>
        <v xml:space="preserve">BACKBONE                                                                                            </v>
      </c>
    </row>
    <row r="64" spans="1:16" x14ac:dyDescent="0.25">
      <c r="A64" t="str">
        <f t="shared" si="19"/>
        <v>10</v>
      </c>
      <c r="B64" t="str">
        <f t="shared" si="20"/>
        <v>21</v>
      </c>
      <c r="C64" s="1">
        <v>45407</v>
      </c>
      <c r="D64" t="str">
        <f>CLEAN("1017-01-93")</f>
        <v>1017-01-93</v>
      </c>
      <c r="E64" t="str">
        <f t="shared" si="21"/>
        <v xml:space="preserve">303  </v>
      </c>
      <c r="F64" t="str">
        <f>CLEAN("$100,000-$249,999        ")</f>
        <v xml:space="preserve">$100,000-$249,999        </v>
      </c>
      <c r="G64" t="str">
        <f>CLEAN("MIS")</f>
        <v>MIS</v>
      </c>
      <c r="H64" t="str">
        <f>CLEAN("NONLET CONSTR/REAL ESTATE")</f>
        <v>NONLET CONSTR/REAL ESTATE</v>
      </c>
      <c r="I64" t="str">
        <f>CLEAN("SERVICE PATROL/1017-01-73/MIS      ")</f>
        <v xml:space="preserve">SERVICE PATROL/1017-01-73/MIS      </v>
      </c>
      <c r="J64" t="str">
        <f>CLEAN("IH  090")</f>
        <v>IH  090</v>
      </c>
      <c r="K64" t="str">
        <f>CLEAN("MONROE                        ")</f>
        <v xml:space="preserve">MONROE                        </v>
      </c>
      <c r="L64" t="str">
        <f>CLEAN("TOMAH - CAMP DOUGLAS, EB           ")</f>
        <v xml:space="preserve">TOMAH - CAMP DOUGLAS, EB           </v>
      </c>
      <c r="M64" t="str">
        <f>CLEAN("USH 12 TO CTH C                    ")</f>
        <v xml:space="preserve">USH 12 TO CTH C                    </v>
      </c>
      <c r="N64">
        <v>15.742000000000001</v>
      </c>
      <c r="O64" t="str">
        <f>CLEAN("          ")</f>
        <v xml:space="preserve">          </v>
      </c>
      <c r="P64" t="str">
        <f t="shared" si="22"/>
        <v xml:space="preserve">BACKBONE                                                                                            </v>
      </c>
    </row>
    <row r="65" spans="1:16" x14ac:dyDescent="0.25">
      <c r="A65" t="str">
        <f t="shared" si="19"/>
        <v>10</v>
      </c>
      <c r="B65" t="str">
        <f t="shared" ref="B65:B82" si="23">CLEAN("25")</f>
        <v>25</v>
      </c>
      <c r="C65" s="1">
        <v>45545</v>
      </c>
      <c r="D65" t="str">
        <f>CLEAN("1020-00-84")</f>
        <v>1020-00-84</v>
      </c>
      <c r="E65" t="str">
        <f t="shared" si="21"/>
        <v xml:space="preserve">303  </v>
      </c>
      <c r="F65" t="str">
        <f>CLEAN("$750,000 - $999,999      ")</f>
        <v xml:space="preserve">$750,000 - $999,999      </v>
      </c>
      <c r="G65" t="str">
        <f t="shared" ref="G65:G79" si="24">CLEAN("LET")</f>
        <v>LET</v>
      </c>
      <c r="H65" t="str">
        <f t="shared" ref="H65:H79" si="25">CLEAN("LET CONSTRUCTION         ")</f>
        <v xml:space="preserve">LET CONSTRUCTION         </v>
      </c>
      <c r="I65" t="str">
        <f>CLEAN("CONSTR/SFTY/MEDIAN CABLE BARRIER   ")</f>
        <v xml:space="preserve">CONSTR/SFTY/MEDIAN CABLE BARRIER   </v>
      </c>
      <c r="J65" t="str">
        <f t="shared" ref="J65:J82" si="26">CLEAN("IH  094")</f>
        <v>IH  094</v>
      </c>
      <c r="K65" t="str">
        <f t="shared" ref="K65:K78" si="27">CLEAN("ST. CROIX                     ")</f>
        <v xml:space="preserve">ST. CROIX                     </v>
      </c>
      <c r="L65" t="str">
        <f t="shared" ref="L65:L78" si="28">CLEAN("HUDSON - BALDWIN                   ")</f>
        <v xml:space="preserve">HUDSON - BALDWIN                   </v>
      </c>
      <c r="M65" t="str">
        <f>CLEAN("0.95 MI W OF STH 65 TO CTH J       ")</f>
        <v xml:space="preserve">0.95 MI W OF STH 65 TO CTH J       </v>
      </c>
      <c r="N65">
        <v>1.51</v>
      </c>
      <c r="O65" t="str">
        <f>CLEAN("          ")</f>
        <v xml:space="preserve">          </v>
      </c>
      <c r="P65" t="str">
        <f t="shared" si="22"/>
        <v xml:space="preserve">BACKBONE                                                                                            </v>
      </c>
    </row>
    <row r="66" spans="1:16" x14ac:dyDescent="0.25">
      <c r="A66" t="str">
        <f t="shared" si="19"/>
        <v>10</v>
      </c>
      <c r="B66" t="str">
        <f t="shared" si="23"/>
        <v>25</v>
      </c>
      <c r="C66" s="1">
        <v>45545</v>
      </c>
      <c r="D66" t="str">
        <f>CLEAN("1020-00-84")</f>
        <v>1020-00-84</v>
      </c>
      <c r="E66" t="str">
        <f t="shared" si="21"/>
        <v xml:space="preserve">303  </v>
      </c>
      <c r="F66" t="str">
        <f>CLEAN("$750,000 - $999,999      ")</f>
        <v xml:space="preserve">$750,000 - $999,999      </v>
      </c>
      <c r="G66" t="str">
        <f t="shared" si="24"/>
        <v>LET</v>
      </c>
      <c r="H66" t="str">
        <f t="shared" si="25"/>
        <v xml:space="preserve">LET CONSTRUCTION         </v>
      </c>
      <c r="I66" t="str">
        <f>CLEAN("CONSTR/SFTY/MEDIAN CABLE BARRIER   ")</f>
        <v xml:space="preserve">CONSTR/SFTY/MEDIAN CABLE BARRIER   </v>
      </c>
      <c r="J66" t="str">
        <f t="shared" si="26"/>
        <v>IH  094</v>
      </c>
      <c r="K66" t="str">
        <f t="shared" si="27"/>
        <v xml:space="preserve">ST. CROIX                     </v>
      </c>
      <c r="L66" t="str">
        <f t="shared" si="28"/>
        <v xml:space="preserve">HUDSON - BALDWIN                   </v>
      </c>
      <c r="M66" t="str">
        <f>CLEAN("0.95 MI W OF STH 65 TO CTH J       ")</f>
        <v xml:space="preserve">0.95 MI W OF STH 65 TO CTH J       </v>
      </c>
      <c r="N66">
        <v>1.51</v>
      </c>
      <c r="O66" t="str">
        <f>CLEAN("          ")</f>
        <v xml:space="preserve">          </v>
      </c>
      <c r="P6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7" spans="1:16" x14ac:dyDescent="0.25">
      <c r="A67" t="str">
        <f t="shared" si="19"/>
        <v>10</v>
      </c>
      <c r="B67" t="str">
        <f t="shared" si="23"/>
        <v>25</v>
      </c>
      <c r="C67" s="1">
        <v>45482</v>
      </c>
      <c r="D67" t="str">
        <f>CLEAN("1020-07-79")</f>
        <v>1020-07-79</v>
      </c>
      <c r="E67" t="str">
        <f t="shared" si="21"/>
        <v xml:space="preserve">303  </v>
      </c>
      <c r="F67" t="str">
        <f>CLEAN("$5,000,000 - $5,999,999  ")</f>
        <v xml:space="preserve">$5,000,000 - $5,999,999  </v>
      </c>
      <c r="G67" t="str">
        <f t="shared" si="24"/>
        <v>LET</v>
      </c>
      <c r="H67" t="str">
        <f t="shared" si="25"/>
        <v xml:space="preserve">LET CONSTRUCTION         </v>
      </c>
      <c r="I67" t="str">
        <f t="shared" ref="I67:I78" si="29">CLEAN("CONSTRUCTION/BRIDGE REPLACEMENT    ")</f>
        <v xml:space="preserve">CONSTRUCTION/BRIDGE REPLACEMENT    </v>
      </c>
      <c r="J67" t="str">
        <f t="shared" si="26"/>
        <v>IH  094</v>
      </c>
      <c r="K67" t="str">
        <f t="shared" si="27"/>
        <v xml:space="preserve">ST. CROIX                     </v>
      </c>
      <c r="L67" t="str">
        <f t="shared" si="28"/>
        <v xml:space="preserve">HUDSON - BALDWIN                   </v>
      </c>
      <c r="M67" t="str">
        <f>CLEAN("KINNEY ROAD BRIDGE WB B-55-0250    ")</f>
        <v xml:space="preserve">KINNEY ROAD BRIDGE WB B-55-0250    </v>
      </c>
      <c r="N67">
        <v>0.47299999999999998</v>
      </c>
      <c r="O67" t="str">
        <f>CLEAN("1020-07-80")</f>
        <v>1020-07-80</v>
      </c>
      <c r="P67" t="str">
        <f t="shared" ref="P67:P86" si="30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68" spans="1:16" x14ac:dyDescent="0.25">
      <c r="A68" t="str">
        <f t="shared" si="19"/>
        <v>10</v>
      </c>
      <c r="B68" t="str">
        <f t="shared" si="23"/>
        <v>25</v>
      </c>
      <c r="C68" s="1">
        <v>45482</v>
      </c>
      <c r="D68" t="str">
        <f>CLEAN("1020-07-79")</f>
        <v>1020-07-79</v>
      </c>
      <c r="E68" t="str">
        <f t="shared" si="21"/>
        <v xml:space="preserve">303  </v>
      </c>
      <c r="F68" t="str">
        <f>CLEAN("$5,000,000 - $5,999,999  ")</f>
        <v xml:space="preserve">$5,000,000 - $5,999,999  </v>
      </c>
      <c r="G68" t="str">
        <f t="shared" si="24"/>
        <v>LET</v>
      </c>
      <c r="H68" t="str">
        <f t="shared" si="25"/>
        <v xml:space="preserve">LET CONSTRUCTION         </v>
      </c>
      <c r="I68" t="str">
        <f t="shared" si="29"/>
        <v xml:space="preserve">CONSTRUCTION/BRIDGE REPLACEMENT    </v>
      </c>
      <c r="J68" t="str">
        <f t="shared" si="26"/>
        <v>IH  094</v>
      </c>
      <c r="K68" t="str">
        <f t="shared" si="27"/>
        <v xml:space="preserve">ST. CROIX                     </v>
      </c>
      <c r="L68" t="str">
        <f t="shared" si="28"/>
        <v xml:space="preserve">HUDSON - BALDWIN                   </v>
      </c>
      <c r="M68" t="str">
        <f>CLEAN("KINNEY ROAD BRIDGE WB B-55-0250    ")</f>
        <v xml:space="preserve">KINNEY ROAD BRIDGE WB B-55-0250    </v>
      </c>
      <c r="N68">
        <v>0.47299999999999998</v>
      </c>
      <c r="O68" t="str">
        <f>CLEAN("1020-07-81")</f>
        <v>1020-07-81</v>
      </c>
      <c r="P68" t="str">
        <f t="shared" si="30"/>
        <v xml:space="preserve">BACKBONE                                                                                            </v>
      </c>
    </row>
    <row r="69" spans="1:16" x14ac:dyDescent="0.25">
      <c r="A69" t="str">
        <f t="shared" si="19"/>
        <v>10</v>
      </c>
      <c r="B69" t="str">
        <f t="shared" si="23"/>
        <v>25</v>
      </c>
      <c r="C69" s="1">
        <v>45482</v>
      </c>
      <c r="D69" t="str">
        <f>CLEAN("1020-07-79")</f>
        <v>1020-07-79</v>
      </c>
      <c r="E69" t="str">
        <f t="shared" si="21"/>
        <v xml:space="preserve">303  </v>
      </c>
      <c r="F69" t="str">
        <f>CLEAN("$5,000,000 - $5,999,999  ")</f>
        <v xml:space="preserve">$5,000,000 - $5,999,999  </v>
      </c>
      <c r="G69" t="str">
        <f t="shared" si="24"/>
        <v>LET</v>
      </c>
      <c r="H69" t="str">
        <f t="shared" si="25"/>
        <v xml:space="preserve">LET CONSTRUCTION         </v>
      </c>
      <c r="I69" t="str">
        <f t="shared" si="29"/>
        <v xml:space="preserve">CONSTRUCTION/BRIDGE REPLACEMENT    </v>
      </c>
      <c r="J69" t="str">
        <f t="shared" si="26"/>
        <v>IH  094</v>
      </c>
      <c r="K69" t="str">
        <f t="shared" si="27"/>
        <v xml:space="preserve">ST. CROIX                     </v>
      </c>
      <c r="L69" t="str">
        <f t="shared" si="28"/>
        <v xml:space="preserve">HUDSON - BALDWIN                   </v>
      </c>
      <c r="M69" t="str">
        <f>CLEAN("KINNEY ROAD BRIDGE WB B-55-0250    ")</f>
        <v xml:space="preserve">KINNEY ROAD BRIDGE WB B-55-0250    </v>
      </c>
      <c r="N69">
        <v>0.47299999999999998</v>
      </c>
      <c r="O69" t="str">
        <f>CLEAN("1020-07-82")</f>
        <v>1020-07-82</v>
      </c>
      <c r="P69" t="str">
        <f t="shared" si="30"/>
        <v xml:space="preserve">BACKBONE                                                                                            </v>
      </c>
    </row>
    <row r="70" spans="1:16" x14ac:dyDescent="0.25">
      <c r="A70" t="str">
        <f t="shared" si="19"/>
        <v>10</v>
      </c>
      <c r="B70" t="str">
        <f t="shared" si="23"/>
        <v>25</v>
      </c>
      <c r="C70" s="1">
        <v>45482</v>
      </c>
      <c r="D70" t="str">
        <f>CLEAN("1020-07-80")</f>
        <v>1020-07-80</v>
      </c>
      <c r="E70" t="str">
        <f t="shared" si="21"/>
        <v xml:space="preserve">303  </v>
      </c>
      <c r="F70" t="str">
        <f>CLEAN("$4,000,000 - $4,999,999  ")</f>
        <v xml:space="preserve">$4,000,000 - $4,999,999  </v>
      </c>
      <c r="G70" t="str">
        <f t="shared" si="24"/>
        <v>LET</v>
      </c>
      <c r="H70" t="str">
        <f t="shared" si="25"/>
        <v xml:space="preserve">LET CONSTRUCTION         </v>
      </c>
      <c r="I70" t="str">
        <f t="shared" si="29"/>
        <v xml:space="preserve">CONSTRUCTION/BRIDGE REPLACEMENT    </v>
      </c>
      <c r="J70" t="str">
        <f t="shared" si="26"/>
        <v>IH  094</v>
      </c>
      <c r="K70" t="str">
        <f t="shared" si="27"/>
        <v xml:space="preserve">ST. CROIX                     </v>
      </c>
      <c r="L70" t="str">
        <f t="shared" si="28"/>
        <v xml:space="preserve">HUDSON - BALDWIN                   </v>
      </c>
      <c r="M70" t="str">
        <f>CLEAN("KINNEY ROAD BRIDGE EB B-55-0251    ")</f>
        <v xml:space="preserve">KINNEY ROAD BRIDGE EB B-55-0251    </v>
      </c>
      <c r="N70">
        <v>0.47299999999999998</v>
      </c>
      <c r="O70" t="str">
        <f>CLEAN("1020-07-79")</f>
        <v>1020-07-79</v>
      </c>
      <c r="P70" t="str">
        <f t="shared" si="30"/>
        <v xml:space="preserve">BACKBONE                                                                                            </v>
      </c>
    </row>
    <row r="71" spans="1:16" x14ac:dyDescent="0.25">
      <c r="A71" t="str">
        <f t="shared" si="19"/>
        <v>10</v>
      </c>
      <c r="B71" t="str">
        <f t="shared" si="23"/>
        <v>25</v>
      </c>
      <c r="C71" s="1">
        <v>45482</v>
      </c>
      <c r="D71" t="str">
        <f>CLEAN("1020-07-80")</f>
        <v>1020-07-80</v>
      </c>
      <c r="E71" t="str">
        <f t="shared" si="21"/>
        <v xml:space="preserve">303  </v>
      </c>
      <c r="F71" t="str">
        <f>CLEAN("$4,000,000 - $4,999,999  ")</f>
        <v xml:space="preserve">$4,000,000 - $4,999,999  </v>
      </c>
      <c r="G71" t="str">
        <f t="shared" si="24"/>
        <v>LET</v>
      </c>
      <c r="H71" t="str">
        <f t="shared" si="25"/>
        <v xml:space="preserve">LET CONSTRUCTION         </v>
      </c>
      <c r="I71" t="str">
        <f t="shared" si="29"/>
        <v xml:space="preserve">CONSTRUCTION/BRIDGE REPLACEMENT    </v>
      </c>
      <c r="J71" t="str">
        <f t="shared" si="26"/>
        <v>IH  094</v>
      </c>
      <c r="K71" t="str">
        <f t="shared" si="27"/>
        <v xml:space="preserve">ST. CROIX                     </v>
      </c>
      <c r="L71" t="str">
        <f t="shared" si="28"/>
        <v xml:space="preserve">HUDSON - BALDWIN                   </v>
      </c>
      <c r="M71" t="str">
        <f>CLEAN("KINNEY ROAD BRIDGE EB B-55-0251    ")</f>
        <v xml:space="preserve">KINNEY ROAD BRIDGE EB B-55-0251    </v>
      </c>
      <c r="N71">
        <v>0.47299999999999998</v>
      </c>
      <c r="O71" t="str">
        <f>CLEAN("1020-07-81")</f>
        <v>1020-07-81</v>
      </c>
      <c r="P71" t="str">
        <f t="shared" si="30"/>
        <v xml:space="preserve">BACKBONE                                                                                            </v>
      </c>
    </row>
    <row r="72" spans="1:16" x14ac:dyDescent="0.25">
      <c r="A72" t="str">
        <f t="shared" si="19"/>
        <v>10</v>
      </c>
      <c r="B72" t="str">
        <f t="shared" si="23"/>
        <v>25</v>
      </c>
      <c r="C72" s="1">
        <v>45482</v>
      </c>
      <c r="D72" t="str">
        <f>CLEAN("1020-07-80")</f>
        <v>1020-07-80</v>
      </c>
      <c r="E72" t="str">
        <f t="shared" si="21"/>
        <v xml:space="preserve">303  </v>
      </c>
      <c r="F72" t="str">
        <f>CLEAN("$4,000,000 - $4,999,999  ")</f>
        <v xml:space="preserve">$4,000,000 - $4,999,999  </v>
      </c>
      <c r="G72" t="str">
        <f t="shared" si="24"/>
        <v>LET</v>
      </c>
      <c r="H72" t="str">
        <f t="shared" si="25"/>
        <v xml:space="preserve">LET CONSTRUCTION         </v>
      </c>
      <c r="I72" t="str">
        <f t="shared" si="29"/>
        <v xml:space="preserve">CONSTRUCTION/BRIDGE REPLACEMENT    </v>
      </c>
      <c r="J72" t="str">
        <f t="shared" si="26"/>
        <v>IH  094</v>
      </c>
      <c r="K72" t="str">
        <f t="shared" si="27"/>
        <v xml:space="preserve">ST. CROIX                     </v>
      </c>
      <c r="L72" t="str">
        <f t="shared" si="28"/>
        <v xml:space="preserve">HUDSON - BALDWIN                   </v>
      </c>
      <c r="M72" t="str">
        <f>CLEAN("KINNEY ROAD BRIDGE EB B-55-0251    ")</f>
        <v xml:space="preserve">KINNEY ROAD BRIDGE EB B-55-0251    </v>
      </c>
      <c r="N72">
        <v>0.47299999999999998</v>
      </c>
      <c r="O72" t="str">
        <f>CLEAN("1020-07-82")</f>
        <v>1020-07-82</v>
      </c>
      <c r="P72" t="str">
        <f t="shared" si="30"/>
        <v xml:space="preserve">BACKBONE                                                                                            </v>
      </c>
    </row>
    <row r="73" spans="1:16" x14ac:dyDescent="0.25">
      <c r="A73" t="str">
        <f t="shared" si="19"/>
        <v>10</v>
      </c>
      <c r="B73" t="str">
        <f t="shared" si="23"/>
        <v>25</v>
      </c>
      <c r="C73" s="1">
        <v>45482</v>
      </c>
      <c r="D73" t="str">
        <f>CLEAN("1020-07-81")</f>
        <v>1020-07-81</v>
      </c>
      <c r="E73" t="str">
        <f t="shared" si="21"/>
        <v xml:space="preserve">303  </v>
      </c>
      <c r="F73" t="str">
        <f>CLEAN("$5,000,000 - $5,999,999  ")</f>
        <v xml:space="preserve">$5,000,000 - $5,999,999  </v>
      </c>
      <c r="G73" t="str">
        <f t="shared" si="24"/>
        <v>LET</v>
      </c>
      <c r="H73" t="str">
        <f t="shared" si="25"/>
        <v xml:space="preserve">LET CONSTRUCTION         </v>
      </c>
      <c r="I73" t="str">
        <f t="shared" si="29"/>
        <v xml:space="preserve">CONSTRUCTION/BRIDGE REPLACEMENT    </v>
      </c>
      <c r="J73" t="str">
        <f t="shared" si="26"/>
        <v>IH  094</v>
      </c>
      <c r="K73" t="str">
        <f t="shared" si="27"/>
        <v xml:space="preserve">ST. CROIX                     </v>
      </c>
      <c r="L73" t="str">
        <f t="shared" si="28"/>
        <v xml:space="preserve">HUDSON - BALDWIN                   </v>
      </c>
      <c r="M73" t="str">
        <f>CLEAN("100TH ST/TWIN LK RD BR WB B-55-0252")</f>
        <v>100TH ST/TWIN LK RD BR WB B-55-0252</v>
      </c>
      <c r="N73">
        <v>0.36</v>
      </c>
      <c r="O73" t="str">
        <f>CLEAN("1020-07-79")</f>
        <v>1020-07-79</v>
      </c>
      <c r="P73" t="str">
        <f t="shared" si="30"/>
        <v xml:space="preserve">BACKBONE                                                                                            </v>
      </c>
    </row>
    <row r="74" spans="1:16" x14ac:dyDescent="0.25">
      <c r="A74" t="str">
        <f t="shared" si="19"/>
        <v>10</v>
      </c>
      <c r="B74" t="str">
        <f t="shared" si="23"/>
        <v>25</v>
      </c>
      <c r="C74" s="1">
        <v>45482</v>
      </c>
      <c r="D74" t="str">
        <f>CLEAN("1020-07-81")</f>
        <v>1020-07-81</v>
      </c>
      <c r="E74" t="str">
        <f t="shared" si="21"/>
        <v xml:space="preserve">303  </v>
      </c>
      <c r="F74" t="str">
        <f>CLEAN("$5,000,000 - $5,999,999  ")</f>
        <v xml:space="preserve">$5,000,000 - $5,999,999  </v>
      </c>
      <c r="G74" t="str">
        <f t="shared" si="24"/>
        <v>LET</v>
      </c>
      <c r="H74" t="str">
        <f t="shared" si="25"/>
        <v xml:space="preserve">LET CONSTRUCTION         </v>
      </c>
      <c r="I74" t="str">
        <f t="shared" si="29"/>
        <v xml:space="preserve">CONSTRUCTION/BRIDGE REPLACEMENT    </v>
      </c>
      <c r="J74" t="str">
        <f t="shared" si="26"/>
        <v>IH  094</v>
      </c>
      <c r="K74" t="str">
        <f t="shared" si="27"/>
        <v xml:space="preserve">ST. CROIX                     </v>
      </c>
      <c r="L74" t="str">
        <f t="shared" si="28"/>
        <v xml:space="preserve">HUDSON - BALDWIN                   </v>
      </c>
      <c r="M74" t="str">
        <f>CLEAN("100TH ST/TWIN LK RD BR WB B-55-0252")</f>
        <v>100TH ST/TWIN LK RD BR WB B-55-0252</v>
      </c>
      <c r="N74">
        <v>0.36</v>
      </c>
      <c r="O74" t="str">
        <f>CLEAN("1020-07-80")</f>
        <v>1020-07-80</v>
      </c>
      <c r="P74" t="str">
        <f t="shared" si="30"/>
        <v xml:space="preserve">BACKBONE                                                                                            </v>
      </c>
    </row>
    <row r="75" spans="1:16" x14ac:dyDescent="0.25">
      <c r="A75" t="str">
        <f t="shared" si="19"/>
        <v>10</v>
      </c>
      <c r="B75" t="str">
        <f t="shared" si="23"/>
        <v>25</v>
      </c>
      <c r="C75" s="1">
        <v>45482</v>
      </c>
      <c r="D75" t="str">
        <f>CLEAN("1020-07-81")</f>
        <v>1020-07-81</v>
      </c>
      <c r="E75" t="str">
        <f t="shared" si="21"/>
        <v xml:space="preserve">303  </v>
      </c>
      <c r="F75" t="str">
        <f>CLEAN("$5,000,000 - $5,999,999  ")</f>
        <v xml:space="preserve">$5,000,000 - $5,999,999  </v>
      </c>
      <c r="G75" t="str">
        <f t="shared" si="24"/>
        <v>LET</v>
      </c>
      <c r="H75" t="str">
        <f t="shared" si="25"/>
        <v xml:space="preserve">LET CONSTRUCTION         </v>
      </c>
      <c r="I75" t="str">
        <f t="shared" si="29"/>
        <v xml:space="preserve">CONSTRUCTION/BRIDGE REPLACEMENT    </v>
      </c>
      <c r="J75" t="str">
        <f t="shared" si="26"/>
        <v>IH  094</v>
      </c>
      <c r="K75" t="str">
        <f t="shared" si="27"/>
        <v xml:space="preserve">ST. CROIX                     </v>
      </c>
      <c r="L75" t="str">
        <f t="shared" si="28"/>
        <v xml:space="preserve">HUDSON - BALDWIN                   </v>
      </c>
      <c r="M75" t="str">
        <f>CLEAN("100TH ST/TWIN LK RD BR WB B-55-0252")</f>
        <v>100TH ST/TWIN LK RD BR WB B-55-0252</v>
      </c>
      <c r="N75">
        <v>0.36</v>
      </c>
      <c r="O75" t="str">
        <f>CLEAN("1020-07-82")</f>
        <v>1020-07-82</v>
      </c>
      <c r="P75" t="str">
        <f t="shared" si="30"/>
        <v xml:space="preserve">BACKBONE                                                                                            </v>
      </c>
    </row>
    <row r="76" spans="1:16" x14ac:dyDescent="0.25">
      <c r="A76" t="str">
        <f t="shared" si="19"/>
        <v>10</v>
      </c>
      <c r="B76" t="str">
        <f t="shared" si="23"/>
        <v>25</v>
      </c>
      <c r="C76" s="1">
        <v>45482</v>
      </c>
      <c r="D76" t="str">
        <f>CLEAN("1020-07-82")</f>
        <v>1020-07-82</v>
      </c>
      <c r="E76" t="str">
        <f t="shared" si="21"/>
        <v xml:space="preserve">303  </v>
      </c>
      <c r="F76" t="str">
        <f>CLEAN("$4,000,000 - $4,999,999  ")</f>
        <v xml:space="preserve">$4,000,000 - $4,999,999  </v>
      </c>
      <c r="G76" t="str">
        <f t="shared" si="24"/>
        <v>LET</v>
      </c>
      <c r="H76" t="str">
        <f t="shared" si="25"/>
        <v xml:space="preserve">LET CONSTRUCTION         </v>
      </c>
      <c r="I76" t="str">
        <f t="shared" si="29"/>
        <v xml:space="preserve">CONSTRUCTION/BRIDGE REPLACEMENT    </v>
      </c>
      <c r="J76" t="str">
        <f t="shared" si="26"/>
        <v>IH  094</v>
      </c>
      <c r="K76" t="str">
        <f t="shared" si="27"/>
        <v xml:space="preserve">ST. CROIX                     </v>
      </c>
      <c r="L76" t="str">
        <f t="shared" si="28"/>
        <v xml:space="preserve">HUDSON - BALDWIN                   </v>
      </c>
      <c r="M76" t="str">
        <f>CLEAN("100TH ST/TWIN LK RD BR EB B-55-0253")</f>
        <v>100TH ST/TWIN LK RD BR EB B-55-0253</v>
      </c>
      <c r="N76">
        <v>0.36</v>
      </c>
      <c r="O76" t="str">
        <f>CLEAN("1020-07-79")</f>
        <v>1020-07-79</v>
      </c>
      <c r="P76" t="str">
        <f t="shared" si="30"/>
        <v xml:space="preserve">BACKBONE                                                                                            </v>
      </c>
    </row>
    <row r="77" spans="1:16" x14ac:dyDescent="0.25">
      <c r="A77" t="str">
        <f t="shared" si="19"/>
        <v>10</v>
      </c>
      <c r="B77" t="str">
        <f t="shared" si="23"/>
        <v>25</v>
      </c>
      <c r="C77" s="1">
        <v>45482</v>
      </c>
      <c r="D77" t="str">
        <f>CLEAN("1020-07-82")</f>
        <v>1020-07-82</v>
      </c>
      <c r="E77" t="str">
        <f t="shared" si="21"/>
        <v xml:space="preserve">303  </v>
      </c>
      <c r="F77" t="str">
        <f>CLEAN("$4,000,000 - $4,999,999  ")</f>
        <v xml:space="preserve">$4,000,000 - $4,999,999  </v>
      </c>
      <c r="G77" t="str">
        <f t="shared" si="24"/>
        <v>LET</v>
      </c>
      <c r="H77" t="str">
        <f t="shared" si="25"/>
        <v xml:space="preserve">LET CONSTRUCTION         </v>
      </c>
      <c r="I77" t="str">
        <f t="shared" si="29"/>
        <v xml:space="preserve">CONSTRUCTION/BRIDGE REPLACEMENT    </v>
      </c>
      <c r="J77" t="str">
        <f t="shared" si="26"/>
        <v>IH  094</v>
      </c>
      <c r="K77" t="str">
        <f t="shared" si="27"/>
        <v xml:space="preserve">ST. CROIX                     </v>
      </c>
      <c r="L77" t="str">
        <f t="shared" si="28"/>
        <v xml:space="preserve">HUDSON - BALDWIN                   </v>
      </c>
      <c r="M77" t="str">
        <f>CLEAN("100TH ST/TWIN LK RD BR EB B-55-0253")</f>
        <v>100TH ST/TWIN LK RD BR EB B-55-0253</v>
      </c>
      <c r="N77">
        <v>0.36</v>
      </c>
      <c r="O77" t="str">
        <f>CLEAN("1020-07-80")</f>
        <v>1020-07-80</v>
      </c>
      <c r="P77" t="str">
        <f t="shared" si="30"/>
        <v xml:space="preserve">BACKBONE                                                                                            </v>
      </c>
    </row>
    <row r="78" spans="1:16" x14ac:dyDescent="0.25">
      <c r="A78" t="str">
        <f t="shared" si="19"/>
        <v>10</v>
      </c>
      <c r="B78" t="str">
        <f t="shared" si="23"/>
        <v>25</v>
      </c>
      <c r="C78" s="1">
        <v>45482</v>
      </c>
      <c r="D78" t="str">
        <f>CLEAN("1020-07-82")</f>
        <v>1020-07-82</v>
      </c>
      <c r="E78" t="str">
        <f t="shared" si="21"/>
        <v xml:space="preserve">303  </v>
      </c>
      <c r="F78" t="str">
        <f>CLEAN("$4,000,000 - $4,999,999  ")</f>
        <v xml:space="preserve">$4,000,000 - $4,999,999  </v>
      </c>
      <c r="G78" t="str">
        <f t="shared" si="24"/>
        <v>LET</v>
      </c>
      <c r="H78" t="str">
        <f t="shared" si="25"/>
        <v xml:space="preserve">LET CONSTRUCTION         </v>
      </c>
      <c r="I78" t="str">
        <f t="shared" si="29"/>
        <v xml:space="preserve">CONSTRUCTION/BRIDGE REPLACEMENT    </v>
      </c>
      <c r="J78" t="str">
        <f t="shared" si="26"/>
        <v>IH  094</v>
      </c>
      <c r="K78" t="str">
        <f t="shared" si="27"/>
        <v xml:space="preserve">ST. CROIX                     </v>
      </c>
      <c r="L78" t="str">
        <f t="shared" si="28"/>
        <v xml:space="preserve">HUDSON - BALDWIN                   </v>
      </c>
      <c r="M78" t="str">
        <f>CLEAN("100TH ST/TWIN LK RD BR EB B-55-0253")</f>
        <v>100TH ST/TWIN LK RD BR EB B-55-0253</v>
      </c>
      <c r="N78">
        <v>0.36</v>
      </c>
      <c r="O78" t="str">
        <f>CLEAN("1020-07-81")</f>
        <v>1020-07-81</v>
      </c>
      <c r="P78" t="str">
        <f t="shared" si="30"/>
        <v xml:space="preserve">BACKBONE                                                                                            </v>
      </c>
    </row>
    <row r="79" spans="1:16" x14ac:dyDescent="0.25">
      <c r="A79" t="str">
        <f t="shared" si="19"/>
        <v>10</v>
      </c>
      <c r="B79" t="str">
        <f t="shared" si="23"/>
        <v>25</v>
      </c>
      <c r="C79" s="1">
        <v>45272</v>
      </c>
      <c r="D79" t="str">
        <f>CLEAN("1021-00-80")</f>
        <v>1021-00-80</v>
      </c>
      <c r="E79" t="str">
        <f t="shared" si="21"/>
        <v xml:space="preserve">303  </v>
      </c>
      <c r="F79" t="str">
        <f>CLEAN("$250,000 - $499,999      ")</f>
        <v xml:space="preserve">$250,000 - $499,999      </v>
      </c>
      <c r="G79" t="str">
        <f t="shared" si="24"/>
        <v>LET</v>
      </c>
      <c r="H79" t="str">
        <f t="shared" si="25"/>
        <v xml:space="preserve">LET CONSTRUCTION         </v>
      </c>
      <c r="I79" t="str">
        <f>CLEAN("CONSTRUCTION - BRRHB               ")</f>
        <v xml:space="preserve">CONSTRUCTION - BRRHB               </v>
      </c>
      <c r="J79" t="str">
        <f t="shared" si="26"/>
        <v>IH  094</v>
      </c>
      <c r="K79" t="str">
        <f>CLEAN("EAU CLAIRE                    ")</f>
        <v xml:space="preserve">EAU CLAIRE                    </v>
      </c>
      <c r="L79" t="str">
        <f>CLEAN("MENOMONIE - EAU CLAIRE             ")</f>
        <v xml:space="preserve">MENOMONIE - EAU CLAIRE             </v>
      </c>
      <c r="M79" t="str">
        <f>CLEAN("LOWES CREEK BRIDGE B-18-0228       ")</f>
        <v xml:space="preserve">LOWES CREEK BRIDGE B-18-0228       </v>
      </c>
      <c r="N79">
        <v>0.24099999999999999</v>
      </c>
      <c r="O79" t="str">
        <f>CLEAN("          ")</f>
        <v xml:space="preserve">          </v>
      </c>
      <c r="P79" t="str">
        <f t="shared" si="30"/>
        <v xml:space="preserve">BACKBONE                                                                                            </v>
      </c>
    </row>
    <row r="80" spans="1:16" x14ac:dyDescent="0.25">
      <c r="A80" t="str">
        <f t="shared" si="19"/>
        <v>10</v>
      </c>
      <c r="B80" t="str">
        <f t="shared" si="23"/>
        <v>25</v>
      </c>
      <c r="C80" s="1">
        <v>45285</v>
      </c>
      <c r="D80" t="str">
        <f>CLEAN("1021-00-90")</f>
        <v>1021-00-90</v>
      </c>
      <c r="E80" t="str">
        <f t="shared" si="21"/>
        <v xml:space="preserve">303  </v>
      </c>
      <c r="F80" t="str">
        <f>CLEAN("$0 - $99,999             ")</f>
        <v xml:space="preserve">$0 - $99,999             </v>
      </c>
      <c r="G80" t="str">
        <f>CLEAN("SFA")</f>
        <v>SFA</v>
      </c>
      <c r="H80" t="str">
        <f>CLEAN("NONLET CONSTR/REAL ESTATE")</f>
        <v>NONLET CONSTR/REAL ESTATE</v>
      </c>
      <c r="I80" t="str">
        <f>CLEAN("EX-TRF MIT 1021-00-80              ")</f>
        <v xml:space="preserve">EX-TRF MIT 1021-00-80              </v>
      </c>
      <c r="J80" t="str">
        <f t="shared" si="26"/>
        <v>IH  094</v>
      </c>
      <c r="K80" t="str">
        <f>CLEAN("EAU CLAIRE                    ")</f>
        <v xml:space="preserve">EAU CLAIRE                    </v>
      </c>
      <c r="L80" t="str">
        <f>CLEAN("LOWES CREEK BRIDGE B-18-0228       ")</f>
        <v xml:space="preserve">LOWES CREEK BRIDGE B-18-0228       </v>
      </c>
      <c r="M80" t="str">
        <f>CLEAN("MENOMONIE - EAU CLAIRE             ")</f>
        <v xml:space="preserve">MENOMONIE - EAU CLAIRE             </v>
      </c>
      <c r="N80">
        <v>3.5999999999999997E-2</v>
      </c>
      <c r="O80" t="str">
        <f>CLEAN("          ")</f>
        <v xml:space="preserve">          </v>
      </c>
      <c r="P80" t="str">
        <f t="shared" si="30"/>
        <v xml:space="preserve">BACKBONE                                                                                            </v>
      </c>
    </row>
    <row r="81" spans="1:16" x14ac:dyDescent="0.25">
      <c r="A81" t="str">
        <f t="shared" si="19"/>
        <v>10</v>
      </c>
      <c r="B81" t="str">
        <f t="shared" si="23"/>
        <v>25</v>
      </c>
      <c r="C81" s="1">
        <v>45482</v>
      </c>
      <c r="D81" t="str">
        <f>CLEAN("1021-03-80")</f>
        <v>1021-03-80</v>
      </c>
      <c r="E81" t="str">
        <f t="shared" si="21"/>
        <v xml:space="preserve">303  </v>
      </c>
      <c r="F81" t="str">
        <f>CLEAN("$750,000 - $999,999      ")</f>
        <v xml:space="preserve">$750,000 - $999,999      </v>
      </c>
      <c r="G81" t="str">
        <f>CLEAN("LET")</f>
        <v>LET</v>
      </c>
      <c r="H81" t="str">
        <f>CLEAN("LET CONSTRUCTION         ")</f>
        <v xml:space="preserve">LET CONSTRUCTION         </v>
      </c>
      <c r="I81" t="str">
        <f>CLEAN("CONSTRUCTION/BRIDGE REHABILITATION ")</f>
        <v xml:space="preserve">CONSTRUCTION/BRIDGE REHABILITATION </v>
      </c>
      <c r="J81" t="str">
        <f t="shared" si="26"/>
        <v>IH  094</v>
      </c>
      <c r="K81" t="str">
        <f>CLEAN("EAU CLAIRE                    ")</f>
        <v xml:space="preserve">EAU CLAIRE                    </v>
      </c>
      <c r="L81" t="str">
        <f>CLEAN("EAU CLAIRE - OSSEO                 ")</f>
        <v xml:space="preserve">EAU CLAIRE - OSSEO                 </v>
      </c>
      <c r="M81" t="str">
        <f>CLEAN("STH-93 BRIDGES B-18-0034, B-18-0119")</f>
        <v>STH-93 BRIDGES B-18-0034, B-18-0119</v>
      </c>
      <c r="N81">
        <v>0.05</v>
      </c>
      <c r="O81" t="str">
        <f>CLEAN("          ")</f>
        <v xml:space="preserve">          </v>
      </c>
      <c r="P81" t="str">
        <f t="shared" si="30"/>
        <v xml:space="preserve">BACKBONE                                                                                            </v>
      </c>
    </row>
    <row r="82" spans="1:16" x14ac:dyDescent="0.25">
      <c r="A82" t="str">
        <f t="shared" si="19"/>
        <v>10</v>
      </c>
      <c r="B82" t="str">
        <f t="shared" si="23"/>
        <v>25</v>
      </c>
      <c r="C82" s="1">
        <v>45376</v>
      </c>
      <c r="D82" t="str">
        <f>CLEAN("1022-09-98")</f>
        <v>1022-09-98</v>
      </c>
      <c r="E82" t="str">
        <f t="shared" si="21"/>
        <v xml:space="preserve">303  </v>
      </c>
      <c r="F82" t="str">
        <f>CLEAN("$100,000-$249,999        ")</f>
        <v xml:space="preserve">$100,000-$249,999        </v>
      </c>
      <c r="G82" t="str">
        <f>CLEAN("SFA")</f>
        <v>SFA</v>
      </c>
      <c r="H82" t="str">
        <f>CLEAN("NONLET CONSTR/REAL ESTATE")</f>
        <v>NONLET CONSTR/REAL ESTATE</v>
      </c>
      <c r="I82" t="str">
        <f>CLEAN("EX- TRF MIT/CONST ID 1022-09-78    ")</f>
        <v xml:space="preserve">EX- TRF MIT/CONST ID 1022-09-78    </v>
      </c>
      <c r="J82" t="str">
        <f t="shared" si="26"/>
        <v>IH  094</v>
      </c>
      <c r="K82" t="str">
        <f>CLEAN("EAU CLAIRE                    ")</f>
        <v xml:space="preserve">EAU CLAIRE                    </v>
      </c>
      <c r="L82" t="str">
        <f>CLEAN("USH 53 TO MALLARD ROAD (EB &amp; WB)   ")</f>
        <v xml:space="preserve">USH 53 TO MALLARD ROAD (EB &amp; WB)   </v>
      </c>
      <c r="M82" t="str">
        <f>CLEAN("EAU CLAIRE - OSSEO                 ")</f>
        <v xml:space="preserve">EAU CLAIRE - OSSEO                 </v>
      </c>
      <c r="N82">
        <v>0</v>
      </c>
      <c r="O82" t="str">
        <f>CLEAN("          ")</f>
        <v xml:space="preserve">          </v>
      </c>
      <c r="P82" t="str">
        <f t="shared" si="30"/>
        <v xml:space="preserve">BACKBONE                                                                                            </v>
      </c>
    </row>
    <row r="83" spans="1:16" x14ac:dyDescent="0.25">
      <c r="A83" t="str">
        <f t="shared" si="19"/>
        <v>10</v>
      </c>
      <c r="B83" t="str">
        <f>CLEAN("22")</f>
        <v>22</v>
      </c>
      <c r="C83" s="1">
        <v>45482</v>
      </c>
      <c r="D83" t="str">
        <f>CLEAN("1030-43-71")</f>
        <v>1030-43-71</v>
      </c>
      <c r="E83" t="str">
        <f t="shared" si="21"/>
        <v xml:space="preserve">303  </v>
      </c>
      <c r="F83" t="str">
        <f>CLEAN("$20,000,000 - $24,999,999")</f>
        <v>$20,000,000 - $24,999,999</v>
      </c>
      <c r="G83" t="str">
        <f t="shared" ref="G83:G96" si="31">CLEAN("LET")</f>
        <v>LET</v>
      </c>
      <c r="H83" t="str">
        <f t="shared" ref="H83:H96" si="32">CLEAN("LET CONSTRUCTION         ")</f>
        <v xml:space="preserve">LET CONSTRUCTION         </v>
      </c>
      <c r="I83" t="str">
        <f>CLEAN("CONST/RESURFACING                  ")</f>
        <v xml:space="preserve">CONST/RESURFACING                  </v>
      </c>
      <c r="J83" t="str">
        <f>CLEAN("IH  041")</f>
        <v>IH  041</v>
      </c>
      <c r="K83" t="str">
        <f>CLEAN("MILWAUKEE                     ")</f>
        <v xml:space="preserve">MILWAUKEE                     </v>
      </c>
      <c r="L83" t="str">
        <f>CLEAN("IH 41 MITCHELL I/C                 ")</f>
        <v xml:space="preserve">IH 41 MITCHELL I/C                 </v>
      </c>
      <c r="M83" t="str">
        <f>CLEAN("WB I43/I94 35TH-RAWSON-HOWARD      ")</f>
        <v xml:space="preserve">WB I43/I94 35TH-RAWSON-HOWARD      </v>
      </c>
      <c r="N83">
        <v>6.532</v>
      </c>
      <c r="O83" t="str">
        <f>CLEAN("1030-43-72")</f>
        <v>1030-43-72</v>
      </c>
      <c r="P83" t="str">
        <f t="shared" si="30"/>
        <v xml:space="preserve">BACKBONE                                                                                            </v>
      </c>
    </row>
    <row r="84" spans="1:16" x14ac:dyDescent="0.25">
      <c r="A84" t="str">
        <f t="shared" si="19"/>
        <v>10</v>
      </c>
      <c r="B84" t="str">
        <f>CLEAN("22")</f>
        <v>22</v>
      </c>
      <c r="C84" s="1">
        <v>45482</v>
      </c>
      <c r="D84" t="str">
        <f>CLEAN("1030-43-72")</f>
        <v>1030-43-72</v>
      </c>
      <c r="E84" t="str">
        <f t="shared" si="21"/>
        <v xml:space="preserve">303  </v>
      </c>
      <c r="F84" t="str">
        <f>CLEAN("$20,000,000 - $24,999,999")</f>
        <v>$20,000,000 - $24,999,999</v>
      </c>
      <c r="G84" t="str">
        <f t="shared" si="31"/>
        <v>LET</v>
      </c>
      <c r="H84" t="str">
        <f t="shared" si="32"/>
        <v xml:space="preserve">LET CONSTRUCTION         </v>
      </c>
      <c r="I84" t="str">
        <f>CLEAN("CONST/RESURFACE                    ")</f>
        <v xml:space="preserve">CONST/RESURFACE                    </v>
      </c>
      <c r="J84" t="str">
        <f>CLEAN("IH  041")</f>
        <v>IH  041</v>
      </c>
      <c r="K84" t="str">
        <f>CLEAN("MILWAUKEE                     ")</f>
        <v xml:space="preserve">MILWAUKEE                     </v>
      </c>
      <c r="L84" t="str">
        <f>CLEAN("IH 41 MITCHELL I/C                 ")</f>
        <v xml:space="preserve">IH 41 MITCHELL I/C                 </v>
      </c>
      <c r="M84" t="str">
        <f>CLEAN("EB I43/I94 35TH-RAWSON-HOWARD      ")</f>
        <v xml:space="preserve">EB I43/I94 35TH-RAWSON-HOWARD      </v>
      </c>
      <c r="N84">
        <v>5.9329999999999998</v>
      </c>
      <c r="O84" t="str">
        <f>CLEAN("1030-43-71")</f>
        <v>1030-43-71</v>
      </c>
      <c r="P84" t="str">
        <f t="shared" si="30"/>
        <v xml:space="preserve">BACKBONE                                                                                            </v>
      </c>
    </row>
    <row r="85" spans="1:16" x14ac:dyDescent="0.25">
      <c r="A85" t="str">
        <f t="shared" si="19"/>
        <v>10</v>
      </c>
      <c r="B85" t="str">
        <f>CLEAN("25")</f>
        <v>25</v>
      </c>
      <c r="C85" s="1">
        <v>45636</v>
      </c>
      <c r="D85" t="str">
        <f>CLEAN("1050-00-62")</f>
        <v>1050-00-62</v>
      </c>
      <c r="E85" t="str">
        <f t="shared" si="21"/>
        <v xml:space="preserve">303  </v>
      </c>
      <c r="F85" t="str">
        <f>CLEAN("$25,000,000 - $29,999,999")</f>
        <v>$25,000,000 - $29,999,999</v>
      </c>
      <c r="G85" t="str">
        <f t="shared" si="31"/>
        <v>LET</v>
      </c>
      <c r="H85" t="str">
        <f t="shared" si="32"/>
        <v xml:space="preserve">LET CONSTRUCTION         </v>
      </c>
      <c r="I85" t="str">
        <f>CLEAN("CONSTRUCTION/RESURFACE             ")</f>
        <v xml:space="preserve">CONSTRUCTION/RESURFACE             </v>
      </c>
      <c r="J85" t="str">
        <f t="shared" ref="J85:J90" si="33">CLEAN("STH 029")</f>
        <v>STH 029</v>
      </c>
      <c r="K85" t="str">
        <f>CLEAN("CLARK                         ")</f>
        <v xml:space="preserve">CLARK                         </v>
      </c>
      <c r="L85" t="str">
        <f>CLEAN("CHIPPEWA FALLS - ABBOTSFORD        ")</f>
        <v xml:space="preserve">CHIPPEWA FALLS - ABBOTSFORD        </v>
      </c>
      <c r="M85" t="str">
        <f>CLEAN("KOSER AVE TO CTH D EB &amp; WB         ")</f>
        <v xml:space="preserve">KOSER AVE TO CTH D EB &amp; WB         </v>
      </c>
      <c r="N85">
        <v>15.13</v>
      </c>
      <c r="O85" t="str">
        <f>CLEAN("          ")</f>
        <v xml:space="preserve">          </v>
      </c>
      <c r="P85" t="str">
        <f t="shared" si="30"/>
        <v xml:space="preserve">BACKBONE                                                                                            </v>
      </c>
    </row>
    <row r="86" spans="1:16" x14ac:dyDescent="0.25">
      <c r="A86" t="str">
        <f t="shared" si="19"/>
        <v>10</v>
      </c>
      <c r="B86" t="str">
        <f>CLEAN("25")</f>
        <v>25</v>
      </c>
      <c r="C86" s="1">
        <v>45545</v>
      </c>
      <c r="D86" t="str">
        <f>CLEAN("1050-00-80")</f>
        <v>1050-00-80</v>
      </c>
      <c r="E86" t="str">
        <f t="shared" si="21"/>
        <v xml:space="preserve">303  </v>
      </c>
      <c r="F86" t="str">
        <f>CLEAN("$1,000,000 - $1,999,999  ")</f>
        <v xml:space="preserve">$1,000,000 - $1,999,999  </v>
      </c>
      <c r="G86" t="str">
        <f t="shared" si="31"/>
        <v>LET</v>
      </c>
      <c r="H86" t="str">
        <f t="shared" si="32"/>
        <v xml:space="preserve">LET CONSTRUCTION         </v>
      </c>
      <c r="I86" t="str">
        <f>CLEAN("CONSTR/SFTY/MEDIAN CABLE BARRIER   ")</f>
        <v xml:space="preserve">CONSTR/SFTY/MEDIAN CABLE BARRIER   </v>
      </c>
      <c r="J86" t="str">
        <f t="shared" si="33"/>
        <v>STH 029</v>
      </c>
      <c r="K86" t="str">
        <f>CLEAN("CHIPPEWA                      ")</f>
        <v xml:space="preserve">CHIPPEWA                      </v>
      </c>
      <c r="L86" t="str">
        <f>CLEAN("CHIPPEWA FALLS - THORP             ")</f>
        <v xml:space="preserve">CHIPPEWA FALLS - THORP             </v>
      </c>
      <c r="M86" t="str">
        <f>CLEAN("40TH AVE TO 0.45 MI W OF CTH H     ")</f>
        <v xml:space="preserve">40TH AVE TO 0.45 MI W OF CTH H     </v>
      </c>
      <c r="N86">
        <v>4.3899999999999997</v>
      </c>
      <c r="O86" t="str">
        <f>CLEAN("          ")</f>
        <v xml:space="preserve">          </v>
      </c>
      <c r="P86" t="str">
        <f t="shared" si="30"/>
        <v xml:space="preserve">BACKBONE                                                                                            </v>
      </c>
    </row>
    <row r="87" spans="1:16" x14ac:dyDescent="0.25">
      <c r="A87" t="str">
        <f t="shared" si="19"/>
        <v>10</v>
      </c>
      <c r="B87" t="str">
        <f>CLEAN("25")</f>
        <v>25</v>
      </c>
      <c r="C87" s="1">
        <v>45545</v>
      </c>
      <c r="D87" t="str">
        <f>CLEAN("1050-00-80")</f>
        <v>1050-00-80</v>
      </c>
      <c r="E87" t="str">
        <f t="shared" si="21"/>
        <v xml:space="preserve">303  </v>
      </c>
      <c r="F87" t="str">
        <f>CLEAN("$1,000,000 - $1,999,999  ")</f>
        <v xml:space="preserve">$1,000,000 - $1,999,999  </v>
      </c>
      <c r="G87" t="str">
        <f t="shared" si="31"/>
        <v>LET</v>
      </c>
      <c r="H87" t="str">
        <f t="shared" si="32"/>
        <v xml:space="preserve">LET CONSTRUCTION         </v>
      </c>
      <c r="I87" t="str">
        <f>CLEAN("CONSTR/SFTY/MEDIAN CABLE BARRIER   ")</f>
        <v xml:space="preserve">CONSTR/SFTY/MEDIAN CABLE BARRIER   </v>
      </c>
      <c r="J87" t="str">
        <f t="shared" si="33"/>
        <v>STH 029</v>
      </c>
      <c r="K87" t="str">
        <f>CLEAN("CHIPPEWA                      ")</f>
        <v xml:space="preserve">CHIPPEWA                      </v>
      </c>
      <c r="L87" t="str">
        <f>CLEAN("CHIPPEWA FALLS - THORP             ")</f>
        <v xml:space="preserve">CHIPPEWA FALLS - THORP             </v>
      </c>
      <c r="M87" t="str">
        <f>CLEAN("40TH AVE TO 0.45 MI W OF CTH H     ")</f>
        <v xml:space="preserve">40TH AVE TO 0.45 MI W OF CTH H     </v>
      </c>
      <c r="N87">
        <v>4.3899999999999997</v>
      </c>
      <c r="O87" t="str">
        <f>CLEAN("          ")</f>
        <v xml:space="preserve">          </v>
      </c>
      <c r="P8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8" spans="1:16" x14ac:dyDescent="0.25">
      <c r="A88" t="str">
        <f t="shared" si="19"/>
        <v>10</v>
      </c>
      <c r="B88" t="str">
        <f>CLEAN("25")</f>
        <v>25</v>
      </c>
      <c r="C88" s="1">
        <v>45608</v>
      </c>
      <c r="D88" t="str">
        <f>CLEAN("1050-01-79")</f>
        <v>1050-01-79</v>
      </c>
      <c r="E88" t="str">
        <f t="shared" si="21"/>
        <v xml:space="preserve">303  </v>
      </c>
      <c r="F88" t="str">
        <f>CLEAN("$4,000,000 - $4,999,999  ")</f>
        <v xml:space="preserve">$4,000,000 - $4,999,999  </v>
      </c>
      <c r="G88" t="str">
        <f t="shared" si="31"/>
        <v>LET</v>
      </c>
      <c r="H88" t="str">
        <f t="shared" si="32"/>
        <v xml:space="preserve">LET CONSTRUCTION         </v>
      </c>
      <c r="I88" t="str">
        <f>CLEAN("CONSTRUCTION/BRIDGE REPLACEMENT    ")</f>
        <v xml:space="preserve">CONSTRUCTION/BRIDGE REPLACEMENT    </v>
      </c>
      <c r="J88" t="str">
        <f t="shared" si="33"/>
        <v>STH 029</v>
      </c>
      <c r="K88" t="str">
        <f>CLEAN("CHIPPEWA                      ")</f>
        <v xml:space="preserve">CHIPPEWA                      </v>
      </c>
      <c r="L88" t="str">
        <f>CLEAN("CHIPPEWA FALLS - CADOTT            ")</f>
        <v xml:space="preserve">CHIPPEWA FALLS - CADOTT            </v>
      </c>
      <c r="M88" t="str">
        <f>CLEAN("50TH AVENUE BRIDGE B-09-0309       ")</f>
        <v xml:space="preserve">50TH AVENUE BRIDGE B-09-0309       </v>
      </c>
      <c r="N88">
        <v>0.05</v>
      </c>
      <c r="O88" t="str">
        <f>CLEAN("8996-01-07")</f>
        <v>8996-01-07</v>
      </c>
      <c r="P8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9" spans="1:16" x14ac:dyDescent="0.25">
      <c r="A89" t="str">
        <f t="shared" si="19"/>
        <v>10</v>
      </c>
      <c r="B89" t="str">
        <f>CLEAN("24")</f>
        <v>24</v>
      </c>
      <c r="C89" s="1">
        <v>45426</v>
      </c>
      <c r="D89" t="str">
        <f>CLEAN("1058-23-72")</f>
        <v>1058-23-72</v>
      </c>
      <c r="E89" t="str">
        <f t="shared" si="21"/>
        <v xml:space="preserve">303  </v>
      </c>
      <c r="F89" t="str">
        <f>CLEAN("$3,000,000 - $3,999,999  ")</f>
        <v xml:space="preserve">$3,000,000 - $3,999,999  </v>
      </c>
      <c r="G89" t="str">
        <f t="shared" si="31"/>
        <v>LET</v>
      </c>
      <c r="H89" t="str">
        <f t="shared" si="32"/>
        <v xml:space="preserve">LET CONSTRUCTION         </v>
      </c>
      <c r="I89" t="str">
        <f>CLEAN("CONST/RECONSTRUCT                  ")</f>
        <v xml:space="preserve">CONST/RECONSTRUCT                  </v>
      </c>
      <c r="J89" t="str">
        <f t="shared" si="33"/>
        <v>STH 029</v>
      </c>
      <c r="K89" t="str">
        <f>CLEAN("SHAWANO                       ")</f>
        <v xml:space="preserve">SHAWANO                       </v>
      </c>
      <c r="L89" t="str">
        <f>CLEAN("WITTENBERG - SHAWANO               ")</f>
        <v xml:space="preserve">WITTENBERG - SHAWANO               </v>
      </c>
      <c r="M89" t="str">
        <f>CLEAN("CTH MMM/CLARK DRIVE INTERSECTION   ")</f>
        <v xml:space="preserve">CTH MMM/CLARK DRIVE INTERSECTION   </v>
      </c>
      <c r="N89">
        <v>3.7999999999999999E-2</v>
      </c>
      <c r="O89" t="str">
        <f t="shared" ref="O89:O104" si="34">CLEAN("          ")</f>
        <v xml:space="preserve">          </v>
      </c>
      <c r="P8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0" spans="1:16" x14ac:dyDescent="0.25">
      <c r="A90" t="str">
        <f t="shared" si="19"/>
        <v>10</v>
      </c>
      <c r="B90" t="str">
        <f>CLEAN("24")</f>
        <v>24</v>
      </c>
      <c r="C90" s="1">
        <v>45426</v>
      </c>
      <c r="D90" t="str">
        <f>CLEAN("1058-23-72")</f>
        <v>1058-23-72</v>
      </c>
      <c r="E90" t="str">
        <f t="shared" si="21"/>
        <v xml:space="preserve">303  </v>
      </c>
      <c r="F90" t="str">
        <f>CLEAN("$3,000,000 - $3,999,999  ")</f>
        <v xml:space="preserve">$3,000,000 - $3,999,999  </v>
      </c>
      <c r="G90" t="str">
        <f t="shared" si="31"/>
        <v>LET</v>
      </c>
      <c r="H90" t="str">
        <f t="shared" si="32"/>
        <v xml:space="preserve">LET CONSTRUCTION         </v>
      </c>
      <c r="I90" t="str">
        <f>CLEAN("CONST/RECONSTRUCT                  ")</f>
        <v xml:space="preserve">CONST/RECONSTRUCT                  </v>
      </c>
      <c r="J90" t="str">
        <f t="shared" si="33"/>
        <v>STH 029</v>
      </c>
      <c r="K90" t="str">
        <f>CLEAN("SHAWANO                       ")</f>
        <v xml:space="preserve">SHAWANO                       </v>
      </c>
      <c r="L90" t="str">
        <f>CLEAN("WITTENBERG - SHAWANO               ")</f>
        <v xml:space="preserve">WITTENBERG - SHAWANO               </v>
      </c>
      <c r="M90" t="str">
        <f>CLEAN("CTH MMM/CLARK DRIVE INTERSECTION   ")</f>
        <v xml:space="preserve">CTH MMM/CLARK DRIVE INTERSECTION   </v>
      </c>
      <c r="N90">
        <v>3.7999999999999999E-2</v>
      </c>
      <c r="O90" t="str">
        <f t="shared" si="34"/>
        <v xml:space="preserve">          </v>
      </c>
      <c r="P9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91" spans="1:16" x14ac:dyDescent="0.25">
      <c r="A91" t="str">
        <f t="shared" si="19"/>
        <v>10</v>
      </c>
      <c r="B91" t="str">
        <f>CLEAN("22")</f>
        <v>22</v>
      </c>
      <c r="C91" s="1">
        <v>45272</v>
      </c>
      <c r="D91" t="str">
        <f>CLEAN("1060-53-70")</f>
        <v>1060-53-70</v>
      </c>
      <c r="E91" t="str">
        <f t="shared" si="21"/>
        <v xml:space="preserve">303  </v>
      </c>
      <c r="F91" t="str">
        <f>CLEAN("$1,000,000 - $1,999,999  ")</f>
        <v xml:space="preserve">$1,000,000 - $1,999,999  </v>
      </c>
      <c r="G91" t="str">
        <f t="shared" si="31"/>
        <v>LET</v>
      </c>
      <c r="H91" t="str">
        <f t="shared" si="32"/>
        <v xml:space="preserve">LET CONSTRUCTION         </v>
      </c>
      <c r="I91" t="str">
        <f>CLEAN("CONST/NOISE BARRIER REHAB          ")</f>
        <v xml:space="preserve">CONST/NOISE BARRIER REHAB          </v>
      </c>
      <c r="J91" t="str">
        <f>CLEAN("OFF SYS")</f>
        <v>OFF SYS</v>
      </c>
      <c r="K91" t="str">
        <f>CLEAN("MILWAUKEE                     ")</f>
        <v xml:space="preserve">MILWAUKEE                     </v>
      </c>
      <c r="L91" t="str">
        <f>CLEAN("VARIOUS NOISE WALL LOCATIONS       ")</f>
        <v xml:space="preserve">VARIOUS NOISE WALL LOCATIONS       </v>
      </c>
      <c r="M91" t="str">
        <f>CLEAN("LOCATIONS ON STN PER ANNUAL PLAN   ")</f>
        <v xml:space="preserve">LOCATIONS ON STN PER ANNUAL PLAN   </v>
      </c>
      <c r="N91">
        <v>0</v>
      </c>
      <c r="O91" t="str">
        <f t="shared" si="34"/>
        <v xml:space="preserve">          </v>
      </c>
      <c r="P9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2" spans="1:16" x14ac:dyDescent="0.25">
      <c r="A92" t="str">
        <f t="shared" si="19"/>
        <v>10</v>
      </c>
      <c r="B92" t="str">
        <f>CLEAN("21")</f>
        <v>21</v>
      </c>
      <c r="C92" s="1">
        <v>45573</v>
      </c>
      <c r="D92" t="str">
        <f>CLEAN("1066-03-75")</f>
        <v>1066-03-75</v>
      </c>
      <c r="E92" t="str">
        <f t="shared" si="21"/>
        <v xml:space="preserve">303  </v>
      </c>
      <c r="F92" t="str">
        <f>CLEAN("$20,000,000 - $24,999,999")</f>
        <v>$20,000,000 - $24,999,999</v>
      </c>
      <c r="G92" t="str">
        <f t="shared" si="31"/>
        <v>LET</v>
      </c>
      <c r="H92" t="str">
        <f t="shared" si="32"/>
        <v xml:space="preserve">LET CONSTRUCTION         </v>
      </c>
      <c r="I92" t="str">
        <f>CLEAN("CONST/RESURFACE EB &amp; WB RDWYS      ")</f>
        <v xml:space="preserve">CONST/RESURFACE EB &amp; WB RDWYS      </v>
      </c>
      <c r="J92" t="str">
        <f>CLEAN("IH  094")</f>
        <v>IH  094</v>
      </c>
      <c r="K92" t="str">
        <f>CLEAN("DANE                          ")</f>
        <v xml:space="preserve">DANE                          </v>
      </c>
      <c r="L92" t="str">
        <f>CLEAN("MADISON - LAKE MILLS               ")</f>
        <v xml:space="preserve">MADISON - LAKE MILLS               </v>
      </c>
      <c r="M92" t="str">
        <f>CLEAN("CTH N TO AIRPORT ROAD              ")</f>
        <v xml:space="preserve">CTH N TO AIRPORT ROAD              </v>
      </c>
      <c r="N92">
        <v>9.6539999999999999</v>
      </c>
      <c r="O92" t="str">
        <f t="shared" si="34"/>
        <v xml:space="preserve">          </v>
      </c>
      <c r="P9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3" spans="1:16" x14ac:dyDescent="0.25">
      <c r="A93" t="str">
        <f t="shared" si="19"/>
        <v>10</v>
      </c>
      <c r="B93" t="str">
        <f>CLEAN("21")</f>
        <v>21</v>
      </c>
      <c r="C93" s="1">
        <v>45272</v>
      </c>
      <c r="D93" t="str">
        <f>CLEAN("1067-02-73")</f>
        <v>1067-02-73</v>
      </c>
      <c r="E93" t="str">
        <f t="shared" si="21"/>
        <v xml:space="preserve">303  </v>
      </c>
      <c r="F93" t="str">
        <f>CLEAN("$6,000,000 - $6,999,999  ")</f>
        <v xml:space="preserve">$6,000,000 - $6,999,999  </v>
      </c>
      <c r="G93" t="str">
        <f t="shared" si="31"/>
        <v>LET</v>
      </c>
      <c r="H93" t="str">
        <f t="shared" si="32"/>
        <v xml:space="preserve">LET CONSTRUCTION         </v>
      </c>
      <c r="I93" t="str">
        <f>CLEAN("CONST/B28-184,-185 REPLACE/BRRPL   ")</f>
        <v xml:space="preserve">CONST/B28-184,-185 REPLACE/BRRPL   </v>
      </c>
      <c r="J93" t="str">
        <f>CLEAN("IH  094")</f>
        <v>IH  094</v>
      </c>
      <c r="K93" t="str">
        <f>CLEAN("JEFFERSON                     ")</f>
        <v xml:space="preserve">JEFFERSON                     </v>
      </c>
      <c r="L93" t="str">
        <f>CLEAN("MADISON - LAKE MILLS               ")</f>
        <v xml:space="preserve">MADISON - LAKE MILLS               </v>
      </c>
      <c r="M93" t="str">
        <f>CLEAN("NEWVILLE ROAD BR; ROCK LAKE ROAD BR")</f>
        <v>NEWVILLE ROAD BR; ROCK LAKE ROAD BR</v>
      </c>
      <c r="N93">
        <v>0.128</v>
      </c>
      <c r="O93" t="str">
        <f t="shared" si="34"/>
        <v xml:space="preserve">          </v>
      </c>
      <c r="P9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4" spans="1:16" x14ac:dyDescent="0.25">
      <c r="A94" t="str">
        <f t="shared" si="19"/>
        <v>10</v>
      </c>
      <c r="B94" t="str">
        <f>CLEAN("21")</f>
        <v>21</v>
      </c>
      <c r="C94" s="1">
        <v>45608</v>
      </c>
      <c r="D94" t="str">
        <f>CLEAN("1070-04-64")</f>
        <v>1070-04-64</v>
      </c>
      <c r="E94" t="str">
        <f t="shared" si="21"/>
        <v xml:space="preserve">303  </v>
      </c>
      <c r="F94" t="str">
        <f>CLEAN("$6,000,000 - $6,999,999  ")</f>
        <v xml:space="preserve">$6,000,000 - $6,999,999  </v>
      </c>
      <c r="G94" t="str">
        <f t="shared" si="31"/>
        <v>LET</v>
      </c>
      <c r="H94" t="str">
        <f t="shared" si="32"/>
        <v xml:space="preserve">LET CONSTRUCTION         </v>
      </c>
      <c r="I94" t="str">
        <f>CLEAN("CONST/B-32-34,35,46,47,73/BRRHB    ")</f>
        <v xml:space="preserve">CONST/B-32-34,35,46,47,73/BRRHB    </v>
      </c>
      <c r="J94" t="str">
        <f>CLEAN("IH  090")</f>
        <v>IH  090</v>
      </c>
      <c r="K94" t="str">
        <f>CLEAN("LA CROSSE                     ")</f>
        <v xml:space="preserve">LA CROSSE                     </v>
      </c>
      <c r="L94" t="str">
        <f>CLEAN("LA CROSSE - SPARTA                 ")</f>
        <v xml:space="preserve">LA CROSSE - SPARTA                 </v>
      </c>
      <c r="M94" t="str">
        <f>CLEAN("BLACK RVR, ROUND LK, BAINBRIDGE BRG")</f>
        <v>BLACK RVR, ROUND LK, BAINBRIDGE BRG</v>
      </c>
      <c r="N94">
        <v>0.21199999999999999</v>
      </c>
      <c r="O94" t="str">
        <f t="shared" si="34"/>
        <v xml:space="preserve">          </v>
      </c>
      <c r="P9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5" spans="1:16" x14ac:dyDescent="0.25">
      <c r="A95" t="str">
        <f t="shared" si="19"/>
        <v>10</v>
      </c>
      <c r="B95" t="str">
        <f>CLEAN("16")</f>
        <v>16</v>
      </c>
      <c r="C95" s="1">
        <v>45426</v>
      </c>
      <c r="D95" t="str">
        <f>CLEAN("1071-07-79")</f>
        <v>1071-07-79</v>
      </c>
      <c r="E95" t="str">
        <f t="shared" si="21"/>
        <v xml:space="preserve">303  </v>
      </c>
      <c r="F95" t="str">
        <f>CLEAN("$6,000,000 - $6,999,999  ")</f>
        <v xml:space="preserve">$6,000,000 - $6,999,999  </v>
      </c>
      <c r="G95" t="str">
        <f t="shared" si="31"/>
        <v>LET</v>
      </c>
      <c r="H95" t="str">
        <f t="shared" si="32"/>
        <v xml:space="preserve">LET CONSTRUCTION         </v>
      </c>
      <c r="I95" t="str">
        <f>CLEAN("CONS/REST AREA                     ")</f>
        <v xml:space="preserve">CONS/REST AREA                     </v>
      </c>
      <c r="J95" t="str">
        <f>CLEAN("IH  090")</f>
        <v>IH  090</v>
      </c>
      <c r="K95" t="str">
        <f>CLEAN("MONROE                        ")</f>
        <v xml:space="preserve">MONROE                        </v>
      </c>
      <c r="L95" t="str">
        <f>CLEAN("LACROSSE - SPARTA                  ")</f>
        <v xml:space="preserve">LACROSSE - SPARTA                  </v>
      </c>
      <c r="M95" t="str">
        <f>CLEAN("SAFETY REST AREA 16 SPARTA         ")</f>
        <v xml:space="preserve">SAFETY REST AREA 16 SPARTA         </v>
      </c>
      <c r="N95">
        <v>1.2729999999999999</v>
      </c>
      <c r="O95" t="str">
        <f t="shared" si="34"/>
        <v xml:space="preserve">          </v>
      </c>
      <c r="P95" t="str">
        <f>CLEAN("ROADSIDE FACILITIES                                                                                 ")</f>
        <v xml:space="preserve">ROADSIDE FACILITIES                                                                                 </v>
      </c>
    </row>
    <row r="96" spans="1:16" x14ac:dyDescent="0.25">
      <c r="A96" t="str">
        <f t="shared" si="19"/>
        <v>10</v>
      </c>
      <c r="B96" t="str">
        <f>CLEAN("16")</f>
        <v>16</v>
      </c>
      <c r="C96" s="1">
        <v>45454</v>
      </c>
      <c r="D96" t="str">
        <f>CLEAN("1071-07-80")</f>
        <v>1071-07-80</v>
      </c>
      <c r="E96" t="str">
        <f t="shared" si="21"/>
        <v xml:space="preserve">303  </v>
      </c>
      <c r="F96" t="str">
        <f>CLEAN("$9,000,000 - $9,999,999  ")</f>
        <v xml:space="preserve">$9,000,000 - $9,999,999  </v>
      </c>
      <c r="G96" t="str">
        <f t="shared" si="31"/>
        <v>LET</v>
      </c>
      <c r="H96" t="str">
        <f t="shared" si="32"/>
        <v xml:space="preserve">LET CONSTRUCTION         </v>
      </c>
      <c r="I96" t="str">
        <f>CLEAN("CONS/REST AREA                     ")</f>
        <v xml:space="preserve">CONS/REST AREA                     </v>
      </c>
      <c r="J96" t="str">
        <f>CLEAN("IH  090")</f>
        <v>IH  090</v>
      </c>
      <c r="K96" t="str">
        <f>CLEAN("MONROE                        ")</f>
        <v xml:space="preserve">MONROE                        </v>
      </c>
      <c r="L96" t="str">
        <f>CLEAN("LACROSSE - SPARTA                  ")</f>
        <v xml:space="preserve">LACROSSE - SPARTA                  </v>
      </c>
      <c r="M96" t="str">
        <f>CLEAN("SAFETY REST AREA 16 SPARTA         ")</f>
        <v xml:space="preserve">SAFETY REST AREA 16 SPARTA         </v>
      </c>
      <c r="N96">
        <v>1.2729999999999999</v>
      </c>
      <c r="O96" t="str">
        <f t="shared" si="34"/>
        <v xml:space="preserve">          </v>
      </c>
      <c r="P96" t="str">
        <f>CLEAN("ROADSIDE FACILITIES                                                                                 ")</f>
        <v xml:space="preserve">ROADSIDE FACILITIES                                                                                 </v>
      </c>
    </row>
    <row r="97" spans="1:16" x14ac:dyDescent="0.25">
      <c r="A97" t="str">
        <f t="shared" si="19"/>
        <v>10</v>
      </c>
      <c r="B97" t="str">
        <f>CLEAN("22")</f>
        <v>22</v>
      </c>
      <c r="C97" s="1">
        <v>45407</v>
      </c>
      <c r="D97" t="str">
        <f>CLEAN("1090-03-27")</f>
        <v>1090-03-27</v>
      </c>
      <c r="E97" t="str">
        <f t="shared" si="21"/>
        <v xml:space="preserve">303  </v>
      </c>
      <c r="F97" t="str">
        <f>CLEAN("$0 - $99,999             ")</f>
        <v xml:space="preserve">$0 - $99,999             </v>
      </c>
      <c r="G97" t="str">
        <f>CLEAN("R/E")</f>
        <v>R/E</v>
      </c>
      <c r="H97" t="str">
        <f>CLEAN("NONLET CONSTR/REAL ESTATE")</f>
        <v>NONLET CONSTR/REAL ESTATE</v>
      </c>
      <c r="I97" t="str">
        <f>CLEAN("RE/RSRF25                          ")</f>
        <v xml:space="preserve">RE/RSRF25                          </v>
      </c>
      <c r="J97" t="str">
        <f>CLEAN("STH 020")</f>
        <v>STH 020</v>
      </c>
      <c r="K97" t="str">
        <f>CLEAN("WALWORTH                      ")</f>
        <v xml:space="preserve">WALWORTH                      </v>
      </c>
      <c r="L97" t="str">
        <f>CLEAN("V EAST TROY, NORTH STREET          ")</f>
        <v xml:space="preserve">V EAST TROY, NORTH STREET          </v>
      </c>
      <c r="M97" t="str">
        <f>CLEAN("TOWNLINE RD TO EDWARDS ST          ")</f>
        <v xml:space="preserve">TOWNLINE RD TO EDWARDS ST          </v>
      </c>
      <c r="N97">
        <v>1.2829999999999999</v>
      </c>
      <c r="O97" t="str">
        <f t="shared" si="34"/>
        <v xml:space="preserve">          </v>
      </c>
      <c r="P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8" spans="1:16" x14ac:dyDescent="0.25">
      <c r="A98" t="str">
        <f t="shared" si="19"/>
        <v>10</v>
      </c>
      <c r="B98" t="str">
        <f>CLEAN("22")</f>
        <v>22</v>
      </c>
      <c r="C98" s="1">
        <v>45363</v>
      </c>
      <c r="D98" t="str">
        <f>CLEAN("1090-09-60")</f>
        <v>1090-09-60</v>
      </c>
      <c r="E98" t="str">
        <f t="shared" si="21"/>
        <v xml:space="preserve">303  </v>
      </c>
      <c r="F98" t="str">
        <f>CLEAN("$4,000,000 - $4,999,999  ")</f>
        <v xml:space="preserve">$4,000,000 - $4,999,999  </v>
      </c>
      <c r="G98" t="str">
        <f>CLEAN("LET")</f>
        <v>LET</v>
      </c>
      <c r="H98" t="str">
        <f>CLEAN("LET CONSTRUCTION         ")</f>
        <v xml:space="preserve">LET CONSTRUCTION         </v>
      </c>
      <c r="I98" t="str">
        <f>CLEAN("CONST/RESURFACE                    ")</f>
        <v xml:space="preserve">CONST/RESURFACE                    </v>
      </c>
      <c r="J98" t="str">
        <f t="shared" ref="J98:J103" si="35">CLEAN("IH  043")</f>
        <v>IH  043</v>
      </c>
      <c r="K98" t="str">
        <f>CLEAN("WAUKESHA                      ")</f>
        <v xml:space="preserve">WAUKESHA                      </v>
      </c>
      <c r="L98" t="str">
        <f>CLEAN("IH43 ROCK FREEWAY                  ")</f>
        <v xml:space="preserve">IH43 ROCK FREEWAY                  </v>
      </c>
      <c r="M98" t="str">
        <f>CLEAN("USH12-STH11,POTTERS-BOWERS,STH83 IC")</f>
        <v>USH12-STH11,POTTERS-BOWERS,STH83 IC</v>
      </c>
      <c r="N98">
        <v>8.36</v>
      </c>
      <c r="O98" t="str">
        <f t="shared" si="34"/>
        <v xml:space="preserve">          </v>
      </c>
      <c r="P98" t="str">
        <f t="shared" ref="P98:P103" si="36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99" spans="1:16" x14ac:dyDescent="0.25">
      <c r="A99" t="str">
        <f t="shared" si="19"/>
        <v>10</v>
      </c>
      <c r="B99" t="str">
        <f>CLEAN("22")</f>
        <v>22</v>
      </c>
      <c r="C99" s="1">
        <v>45300</v>
      </c>
      <c r="D99" t="str">
        <f>CLEAN("1090-09-76")</f>
        <v>1090-09-76</v>
      </c>
      <c r="E99" t="str">
        <f t="shared" si="21"/>
        <v xml:space="preserve">303  </v>
      </c>
      <c r="F99" t="str">
        <f>CLEAN("$20,000,000 - $24,999,999")</f>
        <v>$20,000,000 - $24,999,999</v>
      </c>
      <c r="G99" t="str">
        <f>CLEAN("LET")</f>
        <v>LET</v>
      </c>
      <c r="H99" t="str">
        <f>CLEAN("LET CONSTRUCTION         ")</f>
        <v xml:space="preserve">LET CONSTRUCTION         </v>
      </c>
      <c r="I99" t="str">
        <f>CLEAN("CONST/RESURFACING                  ")</f>
        <v xml:space="preserve">CONST/RESURFACING                  </v>
      </c>
      <c r="J99" t="str">
        <f t="shared" si="35"/>
        <v>IH  043</v>
      </c>
      <c r="K99" t="str">
        <f>CLEAN("WAUKESHA                      ")</f>
        <v xml:space="preserve">WAUKESHA                      </v>
      </c>
      <c r="L99" t="str">
        <f>CLEAN("IH 43 ROCK FREEWAY                 ")</f>
        <v xml:space="preserve">IH 43 ROCK FREEWAY                 </v>
      </c>
      <c r="M99" t="str">
        <f>CLEAN("STH 164 TO MOORLAND RD             ")</f>
        <v xml:space="preserve">STH 164 TO MOORLAND RD             </v>
      </c>
      <c r="N99">
        <v>5.8780000000000001</v>
      </c>
      <c r="O99" t="str">
        <f t="shared" si="34"/>
        <v xml:space="preserve">          </v>
      </c>
      <c r="P99" t="str">
        <f t="shared" si="36"/>
        <v xml:space="preserve">BACKBONE                                                                                            </v>
      </c>
    </row>
    <row r="100" spans="1:16" x14ac:dyDescent="0.25">
      <c r="A100" t="str">
        <f t="shared" si="19"/>
        <v>10</v>
      </c>
      <c r="B100" t="str">
        <f>CLEAN("22")</f>
        <v>22</v>
      </c>
      <c r="C100" s="1">
        <v>45347</v>
      </c>
      <c r="D100" t="str">
        <f>CLEAN("1090-32-21")</f>
        <v>1090-32-21</v>
      </c>
      <c r="E100" t="str">
        <f t="shared" si="21"/>
        <v xml:space="preserve">303  </v>
      </c>
      <c r="F100" t="str">
        <f>CLEAN("$0 - $99,999             ")</f>
        <v xml:space="preserve">$0 - $99,999             </v>
      </c>
      <c r="G100" t="str">
        <f>CLEAN("R/E")</f>
        <v>R/E</v>
      </c>
      <c r="H100" t="str">
        <f>CLEAN("NONLET CONSTR/REAL ESTATE")</f>
        <v>NONLET CONSTR/REAL ESTATE</v>
      </c>
      <c r="I100" t="str">
        <f>CLEAN("RE/BRRPL                           ")</f>
        <v xml:space="preserve">RE/BRRPL                           </v>
      </c>
      <c r="J100" t="str">
        <f t="shared" si="35"/>
        <v>IH  043</v>
      </c>
      <c r="K100" t="str">
        <f>CLEAN("MILWAUKEE                     ")</f>
        <v xml:space="preserve">MILWAUKEE                     </v>
      </c>
      <c r="L100" t="str">
        <f>CLEAN("IH 43 AIRPORT FREEWAY              ")</f>
        <v xml:space="preserve">IH 43 AIRPORT FREEWAY              </v>
      </c>
      <c r="M100" t="str">
        <f>CLEAN("92ND STREET BRIDGE                 ")</f>
        <v xml:space="preserve">92ND STREET BRIDGE                 </v>
      </c>
      <c r="N100">
        <v>5.0000000000000001E-3</v>
      </c>
      <c r="O100" t="str">
        <f t="shared" si="34"/>
        <v xml:space="preserve">          </v>
      </c>
      <c r="P100" t="str">
        <f t="shared" si="36"/>
        <v xml:space="preserve">BACKBONE                                                                                            </v>
      </c>
    </row>
    <row r="101" spans="1:16" x14ac:dyDescent="0.25">
      <c r="A101" t="str">
        <f t="shared" si="19"/>
        <v>10</v>
      </c>
      <c r="B101" t="str">
        <f>CLEAN("22")</f>
        <v>22</v>
      </c>
      <c r="C101" s="1">
        <v>45468</v>
      </c>
      <c r="D101" t="str">
        <f>CLEAN("1090-39-20")</f>
        <v>1090-39-20</v>
      </c>
      <c r="E101" t="str">
        <f t="shared" si="21"/>
        <v xml:space="preserve">303  </v>
      </c>
      <c r="F101" t="str">
        <f>CLEAN("$250,000 - $499,999      ")</f>
        <v xml:space="preserve">$250,000 - $499,999      </v>
      </c>
      <c r="G101" t="str">
        <f>CLEAN("R/E")</f>
        <v>R/E</v>
      </c>
      <c r="H101" t="str">
        <f>CLEAN("NONLET CONSTR/REAL ESTATE")</f>
        <v>NONLET CONSTR/REAL ESTATE</v>
      </c>
      <c r="I101" t="str">
        <f>CLEAN("RE/PVRPLA                          ")</f>
        <v xml:space="preserve">RE/PVRPLA                          </v>
      </c>
      <c r="J101" t="str">
        <f t="shared" si="35"/>
        <v>IH  043</v>
      </c>
      <c r="K101" t="str">
        <f>CLEAN("WAUKESHA                      ")</f>
        <v xml:space="preserve">WAUKESHA                      </v>
      </c>
      <c r="L101" t="str">
        <f>CLEAN("IH 43 ROCK FREEWAY                 ")</f>
        <v xml:space="preserve">IH 43 ROCK FREEWAY                 </v>
      </c>
      <c r="M101" t="str">
        <f>CLEAN("STH 83 TO STH 164                  ")</f>
        <v xml:space="preserve">STH 83 TO STH 164                  </v>
      </c>
      <c r="N101">
        <v>7.08</v>
      </c>
      <c r="O101" t="str">
        <f t="shared" si="34"/>
        <v xml:space="preserve">          </v>
      </c>
      <c r="P101" t="str">
        <f t="shared" si="36"/>
        <v xml:space="preserve">BACKBONE                                                                                            </v>
      </c>
    </row>
    <row r="102" spans="1:16" x14ac:dyDescent="0.25">
      <c r="A102" t="str">
        <f t="shared" si="19"/>
        <v>10</v>
      </c>
      <c r="B102" t="str">
        <f>CLEAN("21")</f>
        <v>21</v>
      </c>
      <c r="C102" s="1">
        <v>45573</v>
      </c>
      <c r="D102" t="str">
        <f>CLEAN("1093-01-81")</f>
        <v>1093-01-81</v>
      </c>
      <c r="E102" t="str">
        <f t="shared" si="21"/>
        <v xml:space="preserve">303  </v>
      </c>
      <c r="F102" t="str">
        <f>CLEAN("$12,000,000 - $12,999,999")</f>
        <v>$12,000,000 - $12,999,999</v>
      </c>
      <c r="G102" t="str">
        <f>CLEAN("LET")</f>
        <v>LET</v>
      </c>
      <c r="H102" t="str">
        <f>CLEAN("LET CONSTRUCTION         ")</f>
        <v xml:space="preserve">LET CONSTRUCTION         </v>
      </c>
      <c r="I102" t="str">
        <f>CLEAN("CONSTRUCTION/RSRF30                ")</f>
        <v xml:space="preserve">CONSTRUCTION/RSRF30                </v>
      </c>
      <c r="J102" t="str">
        <f t="shared" si="35"/>
        <v>IH  043</v>
      </c>
      <c r="K102" t="str">
        <f>CLEAN("ROCK                          ")</f>
        <v xml:space="preserve">ROCK                          </v>
      </c>
      <c r="L102" t="str">
        <f>CLEAN("BELOIT - ELKHORN                   ")</f>
        <v xml:space="preserve">BELOIT - ELKHORN                   </v>
      </c>
      <c r="M102" t="str">
        <f>CLEAN("CTH X TO STH 140; B-53-111 &amp; 113   ")</f>
        <v xml:space="preserve">CTH X TO STH 140; B-53-111 &amp; 113   </v>
      </c>
      <c r="N102">
        <v>4.12</v>
      </c>
      <c r="O102" t="str">
        <f t="shared" si="34"/>
        <v xml:space="preserve">          </v>
      </c>
      <c r="P102" t="str">
        <f t="shared" si="36"/>
        <v xml:space="preserve">BACKBONE                                                                                            </v>
      </c>
    </row>
    <row r="103" spans="1:16" x14ac:dyDescent="0.25">
      <c r="A103" t="str">
        <f t="shared" si="19"/>
        <v>10</v>
      </c>
      <c r="B103" t="str">
        <f>CLEAN("21")</f>
        <v>21</v>
      </c>
      <c r="C103" s="1">
        <v>45468</v>
      </c>
      <c r="D103" t="str">
        <f>CLEAN("1093-01-83")</f>
        <v>1093-01-83</v>
      </c>
      <c r="E103" t="str">
        <f t="shared" si="21"/>
        <v xml:space="preserve">303  </v>
      </c>
      <c r="F103" t="str">
        <f>CLEAN("$0 - $99,999             ")</f>
        <v xml:space="preserve">$0 - $99,999             </v>
      </c>
      <c r="G103" t="str">
        <f>CLEAN("MIS")</f>
        <v>MIS</v>
      </c>
      <c r="H103" t="str">
        <f>CLEAN("NONLET CONSTR/REAL ESTATE")</f>
        <v>NONLET CONSTR/REAL ESTATE</v>
      </c>
      <c r="I103" t="str">
        <f>CLEAN("FIBER OPTIC PO ITEMS/1093-01-81/MIS")</f>
        <v>FIBER OPTIC PO ITEMS/1093-01-81/MIS</v>
      </c>
      <c r="J103" t="str">
        <f t="shared" si="35"/>
        <v>IH  043</v>
      </c>
      <c r="K103" t="str">
        <f>CLEAN("ROCK                          ")</f>
        <v xml:space="preserve">ROCK                          </v>
      </c>
      <c r="L103" t="str">
        <f>CLEAN("BELOIT - ELKHORN                   ")</f>
        <v xml:space="preserve">BELOIT - ELKHORN                   </v>
      </c>
      <c r="M103" t="str">
        <f>CLEAN("CTH X TO STH 140                   ")</f>
        <v xml:space="preserve">CTH X TO STH 140                   </v>
      </c>
      <c r="N103">
        <v>5.87</v>
      </c>
      <c r="O103" t="str">
        <f t="shared" si="34"/>
        <v xml:space="preserve">          </v>
      </c>
      <c r="P103" t="str">
        <f t="shared" si="36"/>
        <v xml:space="preserve">BACKBONE                                                                                            </v>
      </c>
    </row>
    <row r="104" spans="1:16" x14ac:dyDescent="0.25">
      <c r="A104" t="str">
        <f t="shared" si="19"/>
        <v>10</v>
      </c>
      <c r="B104" t="str">
        <f t="shared" ref="B104:B110" si="37">CLEAN("22")</f>
        <v>22</v>
      </c>
      <c r="C104" s="1">
        <v>45482</v>
      </c>
      <c r="D104" t="str">
        <f>CLEAN("1100-09-74")</f>
        <v>1100-09-74</v>
      </c>
      <c r="E104" t="str">
        <f>CLEAN("305  ")</f>
        <v xml:space="preserve">305  </v>
      </c>
      <c r="F104" t="str">
        <f>CLEAN("$100,000-$249,999        ")</f>
        <v xml:space="preserve">$100,000-$249,999        </v>
      </c>
      <c r="G104" t="str">
        <f>CLEAN("LET")</f>
        <v>LET</v>
      </c>
      <c r="H104" t="str">
        <f>CLEAN("LET CONSTRUCTION         ")</f>
        <v xml:space="preserve">LET CONSTRUCTION         </v>
      </c>
      <c r="I104" t="str">
        <f>CLEAN("CONST/MISC                         ")</f>
        <v xml:space="preserve">CONST/MISC                         </v>
      </c>
      <c r="J104" t="str">
        <f>CLEAN("IH  094")</f>
        <v>IH  094</v>
      </c>
      <c r="K104" t="str">
        <f t="shared" ref="K104:K110" si="38">CLEAN("MILWAUKEE                     ")</f>
        <v xml:space="preserve">MILWAUKEE                     </v>
      </c>
      <c r="L104" t="str">
        <f>CLEAN("IH 94 EAST WEST FREEWAY            ")</f>
        <v xml:space="preserve">IH 94 EAST WEST FREEWAY            </v>
      </c>
      <c r="M104" t="str">
        <f>CLEAN(".2 MI W OF HAWLEY RD TO ZABLOCKI DR")</f>
        <v>.2 MI W OF HAWLEY RD TO ZABLOCKI DR</v>
      </c>
      <c r="N104">
        <v>9.8000000000000004E-2</v>
      </c>
      <c r="O104" t="str">
        <f t="shared" si="34"/>
        <v xml:space="preserve">          </v>
      </c>
      <c r="P104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105" spans="1:16" x14ac:dyDescent="0.25">
      <c r="A105" t="str">
        <f t="shared" si="19"/>
        <v>10</v>
      </c>
      <c r="B105" t="str">
        <f t="shared" si="37"/>
        <v>22</v>
      </c>
      <c r="C105" s="1">
        <v>45573</v>
      </c>
      <c r="D105" t="str">
        <f>CLEAN("1100-20-70")</f>
        <v>1100-20-70</v>
      </c>
      <c r="E105" t="str">
        <f t="shared" ref="E105:E115" si="39">CLEAN("303  ")</f>
        <v xml:space="preserve">303  </v>
      </c>
      <c r="F105" t="str">
        <f>CLEAN("$20,000,000 - $24,999,999")</f>
        <v>$20,000,000 - $24,999,999</v>
      </c>
      <c r="G105" t="str">
        <f>CLEAN("LET")</f>
        <v>LET</v>
      </c>
      <c r="H105" t="str">
        <f>CLEAN("LET CONSTRUCTION         ")</f>
        <v xml:space="preserve">LET CONSTRUCTION         </v>
      </c>
      <c r="I105" t="str">
        <f>CLEAN("CONST/RESURFACE/PHASE I            ")</f>
        <v xml:space="preserve">CONST/RESURFACE/PHASE I            </v>
      </c>
      <c r="J105" t="str">
        <f t="shared" ref="J105:J111" si="40">CLEAN("IH  041")</f>
        <v>IH  041</v>
      </c>
      <c r="K105" t="str">
        <f t="shared" si="38"/>
        <v xml:space="preserve">MILWAUKEE                     </v>
      </c>
      <c r="L105" t="str">
        <f t="shared" ref="L105:L110" si="41">CLEAN("IH 41 ZOO FREEWAY                  ")</f>
        <v xml:space="preserve">IH 41 ZOO FREEWAY                  </v>
      </c>
      <c r="M105" t="str">
        <f>CLEAN("BURLEIGH ST TO CAPITOL DR          ")</f>
        <v xml:space="preserve">BURLEIGH ST TO CAPITOL DR          </v>
      </c>
      <c r="N105">
        <v>1.756</v>
      </c>
      <c r="O105" t="str">
        <f>CLEAN("1100-20-71")</f>
        <v>1100-20-71</v>
      </c>
      <c r="P105" t="str">
        <f t="shared" ref="P105:P113" si="42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06" spans="1:16" x14ac:dyDescent="0.25">
      <c r="A106" t="str">
        <f t="shared" si="19"/>
        <v>10</v>
      </c>
      <c r="B106" t="str">
        <f t="shared" si="37"/>
        <v>22</v>
      </c>
      <c r="C106" s="1">
        <v>45573</v>
      </c>
      <c r="D106" t="str">
        <f>CLEAN("1100-20-71")</f>
        <v>1100-20-71</v>
      </c>
      <c r="E106" t="str">
        <f t="shared" si="39"/>
        <v xml:space="preserve">303  </v>
      </c>
      <c r="F106" t="str">
        <f>CLEAN("$20,000,000 - $24,999,999")</f>
        <v>$20,000,000 - $24,999,999</v>
      </c>
      <c r="G106" t="str">
        <f>CLEAN("LET")</f>
        <v>LET</v>
      </c>
      <c r="H106" t="str">
        <f>CLEAN("LET CONSTRUCTION         ")</f>
        <v xml:space="preserve">LET CONSTRUCTION         </v>
      </c>
      <c r="I106" t="str">
        <f>CLEAN("CONST/RESURFACE/PHASE II           ")</f>
        <v xml:space="preserve">CONST/RESURFACE/PHASE II           </v>
      </c>
      <c r="J106" t="str">
        <f t="shared" si="40"/>
        <v>IH  041</v>
      </c>
      <c r="K106" t="str">
        <f t="shared" si="38"/>
        <v xml:space="preserve">MILWAUKEE                     </v>
      </c>
      <c r="L106" t="str">
        <f t="shared" si="41"/>
        <v xml:space="preserve">IH 41 ZOO FREEWAY                  </v>
      </c>
      <c r="M106" t="str">
        <f>CLEAN("CAPITOL DR TO SILVER SPRING DR     ")</f>
        <v xml:space="preserve">CAPITOL DR TO SILVER SPRING DR     </v>
      </c>
      <c r="N106">
        <v>1.91</v>
      </c>
      <c r="O106" t="str">
        <f>CLEAN("1100-20-70")</f>
        <v>1100-20-70</v>
      </c>
      <c r="P106" t="str">
        <f t="shared" si="42"/>
        <v xml:space="preserve">BACKBONE                                                                                            </v>
      </c>
    </row>
    <row r="107" spans="1:16" x14ac:dyDescent="0.25">
      <c r="A107" t="str">
        <f t="shared" si="19"/>
        <v>10</v>
      </c>
      <c r="B107" t="str">
        <f t="shared" si="37"/>
        <v>22</v>
      </c>
      <c r="C107" s="1">
        <v>45272</v>
      </c>
      <c r="D107" t="str">
        <f>CLEAN("1100-20-74")</f>
        <v>1100-20-74</v>
      </c>
      <c r="E107" t="str">
        <f t="shared" si="39"/>
        <v xml:space="preserve">303  </v>
      </c>
      <c r="F107" t="str">
        <f>CLEAN("$2,000,000 - $2,999,999  ")</f>
        <v xml:space="preserve">$2,000,000 - $2,999,999  </v>
      </c>
      <c r="G107" t="str">
        <f>CLEAN("LET")</f>
        <v>LET</v>
      </c>
      <c r="H107" t="str">
        <f>CLEAN("LET CONSTRUCTION         ")</f>
        <v xml:space="preserve">LET CONSTRUCTION         </v>
      </c>
      <c r="I107" t="str">
        <f>CLEAN("CONST/BRIDGE REHAB                 ")</f>
        <v xml:space="preserve">CONST/BRIDGE REHAB                 </v>
      </c>
      <c r="J107" t="str">
        <f t="shared" si="40"/>
        <v>IH  041</v>
      </c>
      <c r="K107" t="str">
        <f t="shared" si="38"/>
        <v xml:space="preserve">MILWAUKEE                     </v>
      </c>
      <c r="L107" t="str">
        <f t="shared" si="41"/>
        <v xml:space="preserve">IH 41 ZOO FREEWAY                  </v>
      </c>
      <c r="M107" t="str">
        <f>CLEAN("CAPITOL DR I/C                     ")</f>
        <v xml:space="preserve">CAPITOL DR I/C                     </v>
      </c>
      <c r="N107">
        <v>0.04</v>
      </c>
      <c r="O107" t="str">
        <f t="shared" ref="O107:O126" si="43">CLEAN("          ")</f>
        <v xml:space="preserve">          </v>
      </c>
      <c r="P107" t="str">
        <f t="shared" si="42"/>
        <v xml:space="preserve">BACKBONE                                                                                            </v>
      </c>
    </row>
    <row r="108" spans="1:16" x14ac:dyDescent="0.25">
      <c r="A108" t="str">
        <f t="shared" si="19"/>
        <v>10</v>
      </c>
      <c r="B108" t="str">
        <f t="shared" si="37"/>
        <v>22</v>
      </c>
      <c r="C108" s="1">
        <v>45651</v>
      </c>
      <c r="D108" t="str">
        <f>CLEAN("1100-20-92")</f>
        <v>1100-20-92</v>
      </c>
      <c r="E108" t="str">
        <f t="shared" si="39"/>
        <v xml:space="preserve">303  </v>
      </c>
      <c r="F108" t="str">
        <f>CLEAN("$250,000 - $499,999      ")</f>
        <v xml:space="preserve">$250,000 - $499,999      </v>
      </c>
      <c r="G108" t="str">
        <f>CLEAN("MIS")</f>
        <v>MIS</v>
      </c>
      <c r="H108" t="str">
        <f>CLEAN("NONLET CONSTR/REAL ESTATE")</f>
        <v>NONLET CONSTR/REAL ESTATE</v>
      </c>
      <c r="I108" t="str">
        <f>CLEAN("TRAFFIC MITIGATION 1100-20-70      ")</f>
        <v xml:space="preserve">TRAFFIC MITIGATION 1100-20-70      </v>
      </c>
      <c r="J108" t="str">
        <f t="shared" si="40"/>
        <v>IH  041</v>
      </c>
      <c r="K108" t="str">
        <f t="shared" si="38"/>
        <v xml:space="preserve">MILWAUKEE                     </v>
      </c>
      <c r="L108" t="str">
        <f t="shared" si="41"/>
        <v xml:space="preserve">IH 41 ZOO FREEWAY                  </v>
      </c>
      <c r="M108" t="str">
        <f>CLEAN("BURLEIGH ST TO CAPITOL DR          ")</f>
        <v xml:space="preserve">BURLEIGH ST TO CAPITOL DR          </v>
      </c>
      <c r="N108">
        <v>1.756</v>
      </c>
      <c r="O108" t="str">
        <f t="shared" si="43"/>
        <v xml:space="preserve">          </v>
      </c>
      <c r="P108" t="str">
        <f t="shared" si="42"/>
        <v xml:space="preserve">BACKBONE                                                                                            </v>
      </c>
    </row>
    <row r="109" spans="1:16" x14ac:dyDescent="0.25">
      <c r="A109" t="str">
        <f t="shared" si="19"/>
        <v>10</v>
      </c>
      <c r="B109" t="str">
        <f t="shared" si="37"/>
        <v>22</v>
      </c>
      <c r="C109" s="1">
        <v>45376</v>
      </c>
      <c r="D109" t="str">
        <f>CLEAN("1100-20-94")</f>
        <v>1100-20-94</v>
      </c>
      <c r="E109" t="str">
        <f t="shared" si="39"/>
        <v xml:space="preserve">303  </v>
      </c>
      <c r="F109" t="str">
        <f>CLEAN("$0 - $99,999             ")</f>
        <v xml:space="preserve">$0 - $99,999             </v>
      </c>
      <c r="G109" t="str">
        <f>CLEAN("MIS")</f>
        <v>MIS</v>
      </c>
      <c r="H109" t="str">
        <f>CLEAN("NONLET CONSTR/REAL ESTATE")</f>
        <v>NONLET CONSTR/REAL ESTATE</v>
      </c>
      <c r="I109" t="str">
        <f>CLEAN("MITIGATION FOR 1100-20-74          ")</f>
        <v xml:space="preserve">MITIGATION FOR 1100-20-74          </v>
      </c>
      <c r="J109" t="str">
        <f t="shared" si="40"/>
        <v>IH  041</v>
      </c>
      <c r="K109" t="str">
        <f t="shared" si="38"/>
        <v xml:space="preserve">MILWAUKEE                     </v>
      </c>
      <c r="L109" t="str">
        <f t="shared" si="41"/>
        <v xml:space="preserve">IH 41 ZOO FREEWAY                  </v>
      </c>
      <c r="M109" t="str">
        <f>CLEAN("CAPITOL DR I/C                     ")</f>
        <v xml:space="preserve">CAPITOL DR I/C                     </v>
      </c>
      <c r="N109">
        <v>0</v>
      </c>
      <c r="O109" t="str">
        <f t="shared" si="43"/>
        <v xml:space="preserve">          </v>
      </c>
      <c r="P109" t="str">
        <f t="shared" si="42"/>
        <v xml:space="preserve">BACKBONE                                                                                            </v>
      </c>
    </row>
    <row r="110" spans="1:16" x14ac:dyDescent="0.25">
      <c r="A110" t="str">
        <f t="shared" si="19"/>
        <v>10</v>
      </c>
      <c r="B110" t="str">
        <f t="shared" si="37"/>
        <v>22</v>
      </c>
      <c r="C110" s="1">
        <v>45347</v>
      </c>
      <c r="D110" t="str">
        <f>CLEAN("1100-35-21")</f>
        <v>1100-35-21</v>
      </c>
      <c r="E110" t="str">
        <f t="shared" si="39"/>
        <v xml:space="preserve">303  </v>
      </c>
      <c r="F110" t="str">
        <f>CLEAN("$0 - $99,999             ")</f>
        <v xml:space="preserve">$0 - $99,999             </v>
      </c>
      <c r="G110" t="str">
        <f>CLEAN("R/E")</f>
        <v>R/E</v>
      </c>
      <c r="H110" t="str">
        <f>CLEAN("NONLET CONSTR/REAL ESTATE")</f>
        <v>NONLET CONSTR/REAL ESTATE</v>
      </c>
      <c r="I110" t="str">
        <f>CLEAN("RE/BRRPL                           ")</f>
        <v xml:space="preserve">RE/BRRPL                           </v>
      </c>
      <c r="J110" t="str">
        <f t="shared" si="40"/>
        <v>IH  041</v>
      </c>
      <c r="K110" t="str">
        <f t="shared" si="38"/>
        <v xml:space="preserve">MILWAUKEE                     </v>
      </c>
      <c r="L110" t="str">
        <f t="shared" si="41"/>
        <v xml:space="preserve">IH 41 ZOO FREEWAY                  </v>
      </c>
      <c r="M110" t="str">
        <f>CLEAN("HOWARD AVE TO UPRR                 ")</f>
        <v xml:space="preserve">HOWARD AVE TO UPRR                 </v>
      </c>
      <c r="N110">
        <v>2.544</v>
      </c>
      <c r="O110" t="str">
        <f t="shared" si="43"/>
        <v xml:space="preserve">          </v>
      </c>
      <c r="P110" t="str">
        <f t="shared" si="42"/>
        <v xml:space="preserve">BACKBONE                                                                                            </v>
      </c>
    </row>
    <row r="111" spans="1:16" x14ac:dyDescent="0.25">
      <c r="A111" t="str">
        <f t="shared" si="19"/>
        <v>10</v>
      </c>
      <c r="B111" t="str">
        <f>CLEAN("23")</f>
        <v>23</v>
      </c>
      <c r="C111" s="1">
        <v>45517</v>
      </c>
      <c r="D111" t="str">
        <f>CLEAN("1100-52-71")</f>
        <v>1100-52-71</v>
      </c>
      <c r="E111" t="str">
        <f t="shared" si="39"/>
        <v xml:space="preserve">303  </v>
      </c>
      <c r="F111" t="str">
        <f>CLEAN("$25,000,000 - $29,999,999")</f>
        <v>$25,000,000 - $29,999,999</v>
      </c>
      <c r="G111" t="str">
        <f>CLEAN("LET")</f>
        <v>LET</v>
      </c>
      <c r="H111" t="str">
        <f>CLEAN("LET CONSTRUCTION         ")</f>
        <v xml:space="preserve">LET CONSTRUCTION         </v>
      </c>
      <c r="I111" t="str">
        <f>CLEAN("CONST OPS/RSRF10                   ")</f>
        <v xml:space="preserve">CONST OPS/RSRF10                   </v>
      </c>
      <c r="J111" t="str">
        <f t="shared" si="40"/>
        <v>IH  041</v>
      </c>
      <c r="K111" t="str">
        <f>CLEAN("FOND DU LAC                   ")</f>
        <v xml:space="preserve">FOND DU LAC                   </v>
      </c>
      <c r="L111" t="str">
        <f>CLEAN("FOND DU LAC-OSHKOSH                ")</f>
        <v xml:space="preserve">FOND DU LAC-OSHKOSH                </v>
      </c>
      <c r="M111" t="str">
        <f>CLEAN("CTH D-STH 26                       ")</f>
        <v xml:space="preserve">CTH D-STH 26                       </v>
      </c>
      <c r="N111">
        <v>14.154999999999999</v>
      </c>
      <c r="O111" t="str">
        <f t="shared" si="43"/>
        <v xml:space="preserve">          </v>
      </c>
      <c r="P111" t="str">
        <f t="shared" si="42"/>
        <v xml:space="preserve">BACKBONE                                                                                            </v>
      </c>
    </row>
    <row r="112" spans="1:16" x14ac:dyDescent="0.25">
      <c r="A112" t="str">
        <f t="shared" si="19"/>
        <v>10</v>
      </c>
      <c r="B112" t="str">
        <f>CLEAN("21")</f>
        <v>21</v>
      </c>
      <c r="C112" s="1">
        <v>45285</v>
      </c>
      <c r="D112" t="str">
        <f>CLEAN("1112-06-25")</f>
        <v>1112-06-25</v>
      </c>
      <c r="E112" t="str">
        <f t="shared" si="39"/>
        <v xml:space="preserve">303  </v>
      </c>
      <c r="F112" t="str">
        <f>CLEAN("$0 - $99,999             ")</f>
        <v xml:space="preserve">$0 - $99,999             </v>
      </c>
      <c r="G112" t="str">
        <f>CLEAN("R/E")</f>
        <v>R/E</v>
      </c>
      <c r="H112" t="str">
        <f>CLEAN("NONLET CONSTR/REAL ESTATE")</f>
        <v>NONLET CONSTR/REAL ESTATE</v>
      </c>
      <c r="I112" t="str">
        <f>CLEAN("RE OPS/ 1112-06-75/ MISC           ")</f>
        <v xml:space="preserve">RE OPS/ 1112-06-75/ MISC           </v>
      </c>
      <c r="J112" t="str">
        <f>CLEAN("USH 151")</f>
        <v>USH 151</v>
      </c>
      <c r="K112" t="str">
        <f>CLEAN("DODGE                         ")</f>
        <v xml:space="preserve">DODGE                         </v>
      </c>
      <c r="L112" t="str">
        <f>CLEAN("BEAVER DAM - FOND DU LAC           ")</f>
        <v xml:space="preserve">BEAVER DAM - FOND DU LAC           </v>
      </c>
      <c r="M112" t="str">
        <f>CLEAN("CTH C INTERSECTION                 ")</f>
        <v xml:space="preserve">CTH C INTERSECTION                 </v>
      </c>
      <c r="N112">
        <v>0.23100000000000001</v>
      </c>
      <c r="O112" t="str">
        <f t="shared" si="43"/>
        <v xml:space="preserve">          </v>
      </c>
      <c r="P112" t="str">
        <f t="shared" si="42"/>
        <v xml:space="preserve">BACKBONE                                                                                            </v>
      </c>
    </row>
    <row r="113" spans="1:16" x14ac:dyDescent="0.25">
      <c r="A113" t="str">
        <f t="shared" si="19"/>
        <v>10</v>
      </c>
      <c r="B113" t="str">
        <f>CLEAN("23")</f>
        <v>23</v>
      </c>
      <c r="C113" s="1">
        <v>45363</v>
      </c>
      <c r="D113" t="str">
        <f>CLEAN("1120-63-71")</f>
        <v>1120-63-71</v>
      </c>
      <c r="E113" t="str">
        <f t="shared" si="39"/>
        <v xml:space="preserve">303  </v>
      </c>
      <c r="F113" t="str">
        <f>CLEAN("$2,000,000 - $2,999,999  ")</f>
        <v xml:space="preserve">$2,000,000 - $2,999,999  </v>
      </c>
      <c r="G113" t="str">
        <f>CLEAN("LET")</f>
        <v>LET</v>
      </c>
      <c r="H113" t="str">
        <f>CLEAN("LET CONSTRUCTION         ")</f>
        <v xml:space="preserve">LET CONSTRUCTION         </v>
      </c>
      <c r="I113" t="str">
        <f>CLEAN("CONST OPS/MISC APPROACH SLABS      ")</f>
        <v xml:space="preserve">CONST OPS/MISC APPROACH SLABS      </v>
      </c>
      <c r="J113" t="str">
        <f t="shared" ref="J113:J130" si="44">CLEAN("IH  041")</f>
        <v>IH  041</v>
      </c>
      <c r="K113" t="str">
        <f>CLEAN("WINNEBAGO                     ")</f>
        <v xml:space="preserve">WINNEBAGO                     </v>
      </c>
      <c r="L113" t="str">
        <f>CLEAN("OSHKOSH - APPLETON                 ")</f>
        <v xml:space="preserve">OSHKOSH - APPLETON                 </v>
      </c>
      <c r="M113" t="str">
        <f>CLEAN("IH 41 LAKE BUTTE DES MORTS         ")</f>
        <v xml:space="preserve">IH 41 LAKE BUTTE DES MORTS         </v>
      </c>
      <c r="N113">
        <v>0</v>
      </c>
      <c r="O113" t="str">
        <f t="shared" si="43"/>
        <v xml:space="preserve">          </v>
      </c>
      <c r="P113" t="str">
        <f t="shared" si="42"/>
        <v xml:space="preserve">BACKBONE                                                                                            </v>
      </c>
    </row>
    <row r="114" spans="1:16" x14ac:dyDescent="0.25">
      <c r="A114" t="str">
        <f t="shared" si="19"/>
        <v>10</v>
      </c>
      <c r="B114" t="str">
        <f>CLEAN("16")</f>
        <v>16</v>
      </c>
      <c r="C114" s="1">
        <v>45376</v>
      </c>
      <c r="D114" t="str">
        <f>CLEAN("1120-63-72")</f>
        <v>1120-63-72</v>
      </c>
      <c r="E114" t="str">
        <f t="shared" si="39"/>
        <v xml:space="preserve">303  </v>
      </c>
      <c r="F114" t="str">
        <f>CLEAN("$250,000 - $499,999      ")</f>
        <v xml:space="preserve">$250,000 - $499,999      </v>
      </c>
      <c r="G114" t="str">
        <f>CLEAN("MIS")</f>
        <v>MIS</v>
      </c>
      <c r="H114" t="str">
        <f>CLEAN("NONLET CONSTR/REAL ESTATE")</f>
        <v>NONLET CONSTR/REAL ESTATE</v>
      </c>
      <c r="I114" t="str">
        <f>CLEAN("CONST OPS/MISC WEIGH-IN SCALES     ")</f>
        <v xml:space="preserve">CONST OPS/MISC WEIGH-IN SCALES     </v>
      </c>
      <c r="J114" t="str">
        <f t="shared" si="44"/>
        <v>IH  041</v>
      </c>
      <c r="K114" t="str">
        <f>CLEAN("WINNEBAGO                     ")</f>
        <v xml:space="preserve">WINNEBAGO                     </v>
      </c>
      <c r="L114" t="str">
        <f>CLEAN("OSHKOSH - APPLETON                 ")</f>
        <v xml:space="preserve">OSHKOSH - APPLETON                 </v>
      </c>
      <c r="M114" t="str">
        <f>CLEAN("IH 41 LAKE BUTTE DES MORTS         ")</f>
        <v xml:space="preserve">IH 41 LAKE BUTTE DES MORTS         </v>
      </c>
      <c r="N114">
        <v>0.59</v>
      </c>
      <c r="O114" t="str">
        <f t="shared" si="43"/>
        <v xml:space="preserve">          </v>
      </c>
      <c r="P114" t="str">
        <f>CLEAN("ROADSIDE FACILITIES                                                                                 ")</f>
        <v xml:space="preserve">ROADSIDE FACILITIES                                                                                 </v>
      </c>
    </row>
    <row r="115" spans="1:16" x14ac:dyDescent="0.25">
      <c r="A115" t="str">
        <f t="shared" si="19"/>
        <v>10</v>
      </c>
      <c r="B115" t="str">
        <f>CLEAN("16")</f>
        <v>16</v>
      </c>
      <c r="C115" s="1">
        <v>45376</v>
      </c>
      <c r="D115" t="str">
        <f>CLEAN("1120-63-72")</f>
        <v>1120-63-72</v>
      </c>
      <c r="E115" t="str">
        <f t="shared" si="39"/>
        <v xml:space="preserve">303  </v>
      </c>
      <c r="F115" t="str">
        <f>CLEAN("$250,000 - $499,999      ")</f>
        <v xml:space="preserve">$250,000 - $499,999      </v>
      </c>
      <c r="G115" t="str">
        <f>CLEAN("MIS")</f>
        <v>MIS</v>
      </c>
      <c r="H115" t="str">
        <f>CLEAN("NONLET CONSTR/REAL ESTATE")</f>
        <v>NONLET CONSTR/REAL ESTATE</v>
      </c>
      <c r="I115" t="str">
        <f>CLEAN("CONST OPS/MISC WEIGH-IN SCALES     ")</f>
        <v xml:space="preserve">CONST OPS/MISC WEIGH-IN SCALES     </v>
      </c>
      <c r="J115" t="str">
        <f t="shared" si="44"/>
        <v>IH  041</v>
      </c>
      <c r="K115" t="str">
        <f>CLEAN("WINNEBAGO                     ")</f>
        <v xml:space="preserve">WINNEBAGO                     </v>
      </c>
      <c r="L115" t="str">
        <f>CLEAN("OSHKOSH - APPLETON                 ")</f>
        <v xml:space="preserve">OSHKOSH - APPLETON                 </v>
      </c>
      <c r="M115" t="str">
        <f>CLEAN("IH 41 LAKE BUTTE DES MORTS         ")</f>
        <v xml:space="preserve">IH 41 LAKE BUTTE DES MORTS         </v>
      </c>
      <c r="N115">
        <v>0.59</v>
      </c>
      <c r="O115" t="str">
        <f t="shared" si="43"/>
        <v xml:space="preserve">          </v>
      </c>
      <c r="P11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16" spans="1:16" x14ac:dyDescent="0.25">
      <c r="A116" t="str">
        <f t="shared" si="19"/>
        <v>10</v>
      </c>
      <c r="B116" t="str">
        <f>CLEAN("23")</f>
        <v>23</v>
      </c>
      <c r="C116" s="1">
        <v>45376</v>
      </c>
      <c r="D116" t="str">
        <f>CLEAN("1130-44-42")</f>
        <v>1130-44-42</v>
      </c>
      <c r="E116" t="str">
        <f t="shared" ref="E116:E142" si="45">CLEAN("302  ")</f>
        <v xml:space="preserve">302  </v>
      </c>
      <c r="F116" t="str">
        <f>CLEAN("$0 - $99,999             ")</f>
        <v xml:space="preserve">$0 - $99,999             </v>
      </c>
      <c r="G116" t="str">
        <f>CLEAN("UTL")</f>
        <v>UTL</v>
      </c>
      <c r="H116" t="str">
        <f>CLEAN("NONLET CONSTR/REAL ESTATE")</f>
        <v>NONLET CONSTR/REAL ESTATE</v>
      </c>
      <c r="I116" t="str">
        <f>CLEAN("UTL/NATURAL GAS RELOCATION         ")</f>
        <v xml:space="preserve">UTL/NATURAL GAS RELOCATION         </v>
      </c>
      <c r="J116" t="str">
        <f t="shared" si="44"/>
        <v>IH  041</v>
      </c>
      <c r="K116" t="str">
        <f t="shared" ref="K116:K136" si="46">CLEAN("OUTAGAMIE                     ")</f>
        <v xml:space="preserve">OUTAGAMIE                     </v>
      </c>
      <c r="L116" t="str">
        <f>CLEAN("APPLETON- GREEN BAY                ")</f>
        <v xml:space="preserve">APPLETON- GREEN BAY                </v>
      </c>
      <c r="M116" t="str">
        <f>CLEAN("IH 41 WRIGHTSTOWN SWEF 34/POST-BLDG")</f>
        <v>IH 41 WRIGHTSTOWN SWEF 34/POST-BLDG</v>
      </c>
      <c r="N116">
        <v>0.37</v>
      </c>
      <c r="O116" t="str">
        <f t="shared" si="43"/>
        <v xml:space="preserve">          </v>
      </c>
      <c r="P116" t="str">
        <f t="shared" ref="P116:P142" si="47"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17" spans="1:16" x14ac:dyDescent="0.25">
      <c r="A117" t="str">
        <f t="shared" si="19"/>
        <v>10</v>
      </c>
      <c r="B117" t="str">
        <f>CLEAN("23")</f>
        <v>23</v>
      </c>
      <c r="C117" s="1">
        <v>45376</v>
      </c>
      <c r="D117" t="str">
        <f>CLEAN("1130-44-43")</f>
        <v>1130-44-43</v>
      </c>
      <c r="E117" t="str">
        <f t="shared" si="45"/>
        <v xml:space="preserve">302  </v>
      </c>
      <c r="F117" t="str">
        <f>CLEAN("$0 - $99,999             ")</f>
        <v xml:space="preserve">$0 - $99,999             </v>
      </c>
      <c r="G117" t="str">
        <f>CLEAN("UTL")</f>
        <v>UTL</v>
      </c>
      <c r="H117" t="str">
        <f>CLEAN("NONLET CONSTR/REAL ESTATE")</f>
        <v>NONLET CONSTR/REAL ESTATE</v>
      </c>
      <c r="I117" t="str">
        <f>CLEAN("UTL/3-PHASE ELECTRIC RELOCATION    ")</f>
        <v xml:space="preserve">UTL/3-PHASE ELECTRIC RELOCATION    </v>
      </c>
      <c r="J117" t="str">
        <f t="shared" si="44"/>
        <v>IH  041</v>
      </c>
      <c r="K117" t="str">
        <f t="shared" si="46"/>
        <v xml:space="preserve">OUTAGAMIE                     </v>
      </c>
      <c r="L117" t="str">
        <f>CLEAN("APPLETON- GREEN BAY                ")</f>
        <v xml:space="preserve">APPLETON- GREEN BAY                </v>
      </c>
      <c r="M117" t="str">
        <f>CLEAN("IH 41 WRIGHTSTOWN SWEF 34/POST-BLDG")</f>
        <v>IH 41 WRIGHTSTOWN SWEF 34/POST-BLDG</v>
      </c>
      <c r="N117">
        <v>0.37</v>
      </c>
      <c r="O117" t="str">
        <f t="shared" si="43"/>
        <v xml:space="preserve">          </v>
      </c>
      <c r="P117" t="str">
        <f t="shared" si="47"/>
        <v xml:space="preserve">MAJORS                                                                                              </v>
      </c>
    </row>
    <row r="118" spans="1:16" x14ac:dyDescent="0.25">
      <c r="A118" t="str">
        <f t="shared" si="19"/>
        <v>10</v>
      </c>
      <c r="B118" t="str">
        <f>CLEAN("16")</f>
        <v>16</v>
      </c>
      <c r="C118" s="1">
        <v>45517</v>
      </c>
      <c r="D118" t="str">
        <f>CLEAN("1130-44-74")</f>
        <v>1130-44-74</v>
      </c>
      <c r="E118" t="str">
        <f t="shared" si="45"/>
        <v xml:space="preserve">302  </v>
      </c>
      <c r="F118" t="str">
        <f>CLEAN("$20,000,000 - $24,999,999")</f>
        <v>$20,000,000 - $24,999,999</v>
      </c>
      <c r="G118" t="str">
        <f>CLEAN("LET")</f>
        <v>LET</v>
      </c>
      <c r="H118" t="str">
        <f>CLEAN("LET CONSTRUCTION         ")</f>
        <v xml:space="preserve">LET CONSTRUCTION         </v>
      </c>
      <c r="I118" t="str">
        <f>CLEAN("CONST OPS/SWEF                     ")</f>
        <v xml:space="preserve">CONST OPS/SWEF                     </v>
      </c>
      <c r="J118" t="str">
        <f t="shared" si="44"/>
        <v>IH  041</v>
      </c>
      <c r="K118" t="str">
        <f t="shared" si="46"/>
        <v xml:space="preserve">OUTAGAMIE                     </v>
      </c>
      <c r="L118" t="str">
        <f>CLEAN("APPLETON- GREEN BAY                ")</f>
        <v xml:space="preserve">APPLETON- GREEN BAY                </v>
      </c>
      <c r="M118" t="str">
        <f>CLEAN("IH 41 WRIGHTSTOWN SWEF 34/POST-BLDG")</f>
        <v>IH 41 WRIGHTSTOWN SWEF 34/POST-BLDG</v>
      </c>
      <c r="N118">
        <v>0.22</v>
      </c>
      <c r="O118" t="str">
        <f t="shared" si="43"/>
        <v xml:space="preserve">          </v>
      </c>
      <c r="P118" t="str">
        <f t="shared" si="47"/>
        <v xml:space="preserve">MAJORS                                                                                              </v>
      </c>
    </row>
    <row r="119" spans="1:16" x14ac:dyDescent="0.25">
      <c r="A119" t="str">
        <f t="shared" si="19"/>
        <v>10</v>
      </c>
      <c r="B119" t="str">
        <f t="shared" ref="B119:B144" si="48">CLEAN("23")</f>
        <v>23</v>
      </c>
      <c r="C119" s="1">
        <v>45347</v>
      </c>
      <c r="D119" t="str">
        <f>CLEAN("1130-63-21")</f>
        <v>1130-63-21</v>
      </c>
      <c r="E119" t="str">
        <f t="shared" si="45"/>
        <v xml:space="preserve">302  </v>
      </c>
      <c r="F119" t="str">
        <f>CLEAN("$5,000,000 - $5,999,999  ")</f>
        <v xml:space="preserve">$5,000,000 - $5,999,999  </v>
      </c>
      <c r="G119" t="str">
        <f>CLEAN("R/E")</f>
        <v>R/E</v>
      </c>
      <c r="H119" t="str">
        <f t="shared" ref="H119:H126" si="49">CLEAN("NONLET CONSTR/REAL ESTATE")</f>
        <v>NONLET CONSTR/REAL ESTATE</v>
      </c>
      <c r="I119" t="str">
        <f>CLEAN("RE OPS/RE ACQUISITION              ")</f>
        <v xml:space="preserve">RE OPS/RE ACQUISITION              </v>
      </c>
      <c r="J119" t="str">
        <f t="shared" si="44"/>
        <v>IH  041</v>
      </c>
      <c r="K119" t="str">
        <f t="shared" si="46"/>
        <v xml:space="preserve">OUTAGAMIE                     </v>
      </c>
      <c r="L119" t="str">
        <f t="shared" ref="L119:L138" si="50">CLEAN("APPLETON - DE PERE                 ")</f>
        <v xml:space="preserve">APPLETON - DE PERE                 </v>
      </c>
      <c r="M119" t="str">
        <f>CLEAN("STH 96 - CTH F                     ")</f>
        <v xml:space="preserve">STH 96 - CTH F                     </v>
      </c>
      <c r="N119">
        <v>23.596</v>
      </c>
      <c r="O119" t="str">
        <f t="shared" si="43"/>
        <v xml:space="preserve">          </v>
      </c>
      <c r="P119" t="str">
        <f t="shared" si="47"/>
        <v xml:space="preserve">MAJORS                                                                                              </v>
      </c>
    </row>
    <row r="120" spans="1:16" x14ac:dyDescent="0.25">
      <c r="A120" t="str">
        <f t="shared" ref="A120:A183" si="51">CLEAN("10")</f>
        <v>10</v>
      </c>
      <c r="B120" t="str">
        <f t="shared" si="48"/>
        <v>23</v>
      </c>
      <c r="C120" s="1">
        <v>45347</v>
      </c>
      <c r="D120" t="str">
        <f>CLEAN("1130-63-90")</f>
        <v>1130-63-90</v>
      </c>
      <c r="E120" t="str">
        <f t="shared" si="45"/>
        <v xml:space="preserve">302  </v>
      </c>
      <c r="F120" t="str">
        <f>CLEAN("$250,000 - $499,999      ")</f>
        <v xml:space="preserve">$250,000 - $499,999      </v>
      </c>
      <c r="G120" t="str">
        <f>CLEAN("MIS")</f>
        <v>MIS</v>
      </c>
      <c r="H120" t="str">
        <f t="shared" si="49"/>
        <v>NONLET CONSTR/REAL ESTATE</v>
      </c>
      <c r="I120" t="str">
        <f>CLEAN("IH 41 FREEWAY SERVICE TEAM         ")</f>
        <v xml:space="preserve">IH 41 FREEWAY SERVICE TEAM         </v>
      </c>
      <c r="J120" t="str">
        <f t="shared" si="44"/>
        <v>IH  041</v>
      </c>
      <c r="K120" t="str">
        <f t="shared" si="46"/>
        <v xml:space="preserve">OUTAGAMIE                     </v>
      </c>
      <c r="L120" t="str">
        <f t="shared" si="50"/>
        <v xml:space="preserve">APPLETON - DE PERE                 </v>
      </c>
      <c r="M120" t="str">
        <f>CLEAN("USH 96 - CTH F                     ")</f>
        <v xml:space="preserve">USH 96 - CTH F                     </v>
      </c>
      <c r="N120">
        <v>23.596</v>
      </c>
      <c r="O120" t="str">
        <f t="shared" si="43"/>
        <v xml:space="preserve">          </v>
      </c>
      <c r="P120" t="str">
        <f t="shared" si="47"/>
        <v xml:space="preserve">MAJORS                                                                                              </v>
      </c>
    </row>
    <row r="121" spans="1:16" x14ac:dyDescent="0.25">
      <c r="A121" t="str">
        <f t="shared" si="51"/>
        <v>10</v>
      </c>
      <c r="B121" t="str">
        <f t="shared" si="48"/>
        <v>23</v>
      </c>
      <c r="C121" s="1">
        <v>45347</v>
      </c>
      <c r="D121" t="str">
        <f>CLEAN("1130-63-91")</f>
        <v>1130-63-91</v>
      </c>
      <c r="E121" t="str">
        <f t="shared" si="45"/>
        <v xml:space="preserve">302  </v>
      </c>
      <c r="F121" t="str">
        <f>CLEAN("$100,000-$249,999        ")</f>
        <v xml:space="preserve">$100,000-$249,999        </v>
      </c>
      <c r="G121" t="str">
        <f>CLEAN("SFA")</f>
        <v>SFA</v>
      </c>
      <c r="H121" t="str">
        <f t="shared" si="49"/>
        <v>NONLET CONSTR/REAL ESTATE</v>
      </c>
      <c r="I121" t="str">
        <f>CLEAN("LAW ENFORCMNT MITIGATION 1130-63-71")</f>
        <v>LAW ENFORCMNT MITIGATION 1130-63-71</v>
      </c>
      <c r="J121" t="str">
        <f t="shared" si="44"/>
        <v>IH  041</v>
      </c>
      <c r="K121" t="str">
        <f t="shared" si="46"/>
        <v xml:space="preserve">OUTAGAMIE                     </v>
      </c>
      <c r="L121" t="str">
        <f t="shared" si="50"/>
        <v xml:space="preserve">APPLETON - DE PERE                 </v>
      </c>
      <c r="M121" t="str">
        <f>CLEAN("USH 96 - CTH F                     ")</f>
        <v xml:space="preserve">USH 96 - CTH F                     </v>
      </c>
      <c r="N121">
        <v>23.596</v>
      </c>
      <c r="O121" t="str">
        <f t="shared" si="43"/>
        <v xml:space="preserve">          </v>
      </c>
      <c r="P121" t="str">
        <f t="shared" si="47"/>
        <v xml:space="preserve">MAJORS                                                                                              </v>
      </c>
    </row>
    <row r="122" spans="1:16" x14ac:dyDescent="0.25">
      <c r="A122" t="str">
        <f t="shared" si="51"/>
        <v>10</v>
      </c>
      <c r="B122" t="str">
        <f t="shared" si="48"/>
        <v>23</v>
      </c>
      <c r="C122" s="1">
        <v>45407</v>
      </c>
      <c r="D122" t="str">
        <f>CLEAN("1130-64-40")</f>
        <v>1130-64-40</v>
      </c>
      <c r="E122" t="str">
        <f t="shared" si="45"/>
        <v xml:space="preserve">302  </v>
      </c>
      <c r="F122" t="str">
        <f>CLEAN("$2,000,000 - $2,999,999  ")</f>
        <v xml:space="preserve">$2,000,000 - $2,999,999  </v>
      </c>
      <c r="G122" t="str">
        <f>CLEAN("UTL")</f>
        <v>UTL</v>
      </c>
      <c r="H122" t="str">
        <f t="shared" si="49"/>
        <v>NONLET CONSTR/REAL ESTATE</v>
      </c>
      <c r="I122" t="str">
        <f>CLEAN("UTL RELOCATION/IH41 UTL PLACEHOLDER")</f>
        <v>UTL RELOCATION/IH41 UTL PLACEHOLDER</v>
      </c>
      <c r="J122" t="str">
        <f t="shared" si="44"/>
        <v>IH  041</v>
      </c>
      <c r="K122" t="str">
        <f t="shared" si="46"/>
        <v xml:space="preserve">OUTAGAMIE                     </v>
      </c>
      <c r="L122" t="str">
        <f t="shared" si="50"/>
        <v xml:space="preserve">APPLETON - DE PERE                 </v>
      </c>
      <c r="M122" t="str">
        <f>CLEAN("STH 96 - MEADE ST UTL PLACEHOLDER  ")</f>
        <v xml:space="preserve">STH 96 - MEADE ST UTL PLACEHOLDER  </v>
      </c>
      <c r="N122">
        <v>5.14</v>
      </c>
      <c r="O122" t="str">
        <f t="shared" si="43"/>
        <v xml:space="preserve">          </v>
      </c>
      <c r="P122" t="str">
        <f t="shared" si="47"/>
        <v xml:space="preserve">MAJORS                                                                                              </v>
      </c>
    </row>
    <row r="123" spans="1:16" x14ac:dyDescent="0.25">
      <c r="A123" t="str">
        <f t="shared" si="51"/>
        <v>10</v>
      </c>
      <c r="B123" t="str">
        <f t="shared" si="48"/>
        <v>23</v>
      </c>
      <c r="C123" s="1">
        <v>45285</v>
      </c>
      <c r="D123" t="str">
        <f>CLEAN("1130-64-41")</f>
        <v>1130-64-41</v>
      </c>
      <c r="E123" t="str">
        <f t="shared" si="45"/>
        <v xml:space="preserve">302  </v>
      </c>
      <c r="F123" t="str">
        <f>CLEAN("$0 - $99,999             ")</f>
        <v xml:space="preserve">$0 - $99,999             </v>
      </c>
      <c r="G123" t="str">
        <f>CLEAN("UTL")</f>
        <v>UTL</v>
      </c>
      <c r="H123" t="str">
        <f t="shared" si="49"/>
        <v>NONLET CONSTR/REAL ESTATE</v>
      </c>
      <c r="I123" t="str">
        <f>CLEAN("UTL/WATER MAIN RELOCATION UA 610   ")</f>
        <v xml:space="preserve">UTL/WATER MAIN RELOCATION UA 610   </v>
      </c>
      <c r="J123" t="str">
        <f t="shared" si="44"/>
        <v>IH  041</v>
      </c>
      <c r="K123" t="str">
        <f t="shared" si="46"/>
        <v xml:space="preserve">OUTAGAMIE                     </v>
      </c>
      <c r="L123" t="str">
        <f t="shared" si="50"/>
        <v xml:space="preserve">APPLETON - DE PERE                 </v>
      </c>
      <c r="M123" t="str">
        <f>CLEAN("I-41 MAINLINE, RR BRIDGE-LYNNDALE  ")</f>
        <v xml:space="preserve">I-41 MAINLINE, RR BRIDGE-LYNNDALE  </v>
      </c>
      <c r="N123">
        <v>0</v>
      </c>
      <c r="O123" t="str">
        <f t="shared" si="43"/>
        <v xml:space="preserve">          </v>
      </c>
      <c r="P123" t="str">
        <f t="shared" si="47"/>
        <v xml:space="preserve">MAJORS                                                                                              </v>
      </c>
    </row>
    <row r="124" spans="1:16" x14ac:dyDescent="0.25">
      <c r="A124" t="str">
        <f t="shared" si="51"/>
        <v>10</v>
      </c>
      <c r="B124" t="str">
        <f t="shared" si="48"/>
        <v>23</v>
      </c>
      <c r="C124" s="1">
        <v>45285</v>
      </c>
      <c r="D124" t="str">
        <f>CLEAN("1130-64-42")</f>
        <v>1130-64-42</v>
      </c>
      <c r="E124" t="str">
        <f t="shared" si="45"/>
        <v xml:space="preserve">302  </v>
      </c>
      <c r="F124" t="str">
        <f>CLEAN("$0 - $99,999             ")</f>
        <v xml:space="preserve">$0 - $99,999             </v>
      </c>
      <c r="G124" t="str">
        <f>CLEAN("UTL")</f>
        <v>UTL</v>
      </c>
      <c r="H124" t="str">
        <f t="shared" si="49"/>
        <v>NONLET CONSTR/REAL ESTATE</v>
      </c>
      <c r="I124" t="str">
        <f>CLEAN("UTL/SANITARY SEWER RELOC UA 604    ")</f>
        <v xml:space="preserve">UTL/SANITARY SEWER RELOC UA 604    </v>
      </c>
      <c r="J124" t="str">
        <f t="shared" si="44"/>
        <v>IH  041</v>
      </c>
      <c r="K124" t="str">
        <f t="shared" si="46"/>
        <v xml:space="preserve">OUTAGAMIE                     </v>
      </c>
      <c r="L124" t="str">
        <f t="shared" si="50"/>
        <v xml:space="preserve">APPLETON - DE PERE                 </v>
      </c>
      <c r="M124" t="str">
        <f>CLEAN("I-41 MAINLINE, RR BRIDGE-LYNNDALE  ")</f>
        <v xml:space="preserve">I-41 MAINLINE, RR BRIDGE-LYNNDALE  </v>
      </c>
      <c r="N124">
        <v>0</v>
      </c>
      <c r="O124" t="str">
        <f t="shared" si="43"/>
        <v xml:space="preserve">          </v>
      </c>
      <c r="P124" t="str">
        <f t="shared" si="47"/>
        <v xml:space="preserve">MAJORS                                                                                              </v>
      </c>
    </row>
    <row r="125" spans="1:16" x14ac:dyDescent="0.25">
      <c r="A125" t="str">
        <f t="shared" si="51"/>
        <v>10</v>
      </c>
      <c r="B125" t="str">
        <f t="shared" si="48"/>
        <v>23</v>
      </c>
      <c r="C125" s="1">
        <v>45285</v>
      </c>
      <c r="D125" t="str">
        <f>CLEAN("1130-64-43")</f>
        <v>1130-64-43</v>
      </c>
      <c r="E125" t="str">
        <f t="shared" si="45"/>
        <v xml:space="preserve">302  </v>
      </c>
      <c r="F125" t="str">
        <f>CLEAN("$0 - $99,999             ")</f>
        <v xml:space="preserve">$0 - $99,999             </v>
      </c>
      <c r="G125" t="str">
        <f>CLEAN("UTL")</f>
        <v>UTL</v>
      </c>
      <c r="H125" t="str">
        <f t="shared" si="49"/>
        <v>NONLET CONSTR/REAL ESTATE</v>
      </c>
      <c r="I125" t="str">
        <f>CLEAN("UTL/WATER HYDRANT RELOCATION UA 610")</f>
        <v>UTL/WATER HYDRANT RELOCATION UA 610</v>
      </c>
      <c r="J125" t="str">
        <f t="shared" si="44"/>
        <v>IH  041</v>
      </c>
      <c r="K125" t="str">
        <f t="shared" si="46"/>
        <v xml:space="preserve">OUTAGAMIE                     </v>
      </c>
      <c r="L125" t="str">
        <f t="shared" si="50"/>
        <v xml:space="preserve">APPLETON - DE PERE                 </v>
      </c>
      <c r="M125" t="str">
        <f>CLEAN("CAPITOL DRIVE OVERPASS B440317     ")</f>
        <v xml:space="preserve">CAPITOL DRIVE OVERPASS B440317     </v>
      </c>
      <c r="N125">
        <v>5.8999999999999997E-2</v>
      </c>
      <c r="O125" t="str">
        <f t="shared" si="43"/>
        <v xml:space="preserve">          </v>
      </c>
      <c r="P125" t="str">
        <f t="shared" si="47"/>
        <v xml:space="preserve">MAJORS                                                                                              </v>
      </c>
    </row>
    <row r="126" spans="1:16" x14ac:dyDescent="0.25">
      <c r="A126" t="str">
        <f t="shared" si="51"/>
        <v>10</v>
      </c>
      <c r="B126" t="str">
        <f t="shared" si="48"/>
        <v>23</v>
      </c>
      <c r="C126" s="1">
        <v>45285</v>
      </c>
      <c r="D126" t="str">
        <f>CLEAN("1130-64-44")</f>
        <v>1130-64-44</v>
      </c>
      <c r="E126" t="str">
        <f t="shared" si="45"/>
        <v xml:space="preserve">302  </v>
      </c>
      <c r="F126" t="str">
        <f>CLEAN("$0 - $99,999             ")</f>
        <v xml:space="preserve">$0 - $99,999             </v>
      </c>
      <c r="G126" t="str">
        <f>CLEAN("UTL")</f>
        <v>UTL</v>
      </c>
      <c r="H126" t="str">
        <f t="shared" si="49"/>
        <v>NONLET CONSTR/REAL ESTATE</v>
      </c>
      <c r="I126" t="str">
        <f>CLEAN("UTL/FIBER OPTIC RELOCATION UA 502  ")</f>
        <v xml:space="preserve">UTL/FIBER OPTIC RELOCATION UA 502  </v>
      </c>
      <c r="J126" t="str">
        <f t="shared" si="44"/>
        <v>IH  041</v>
      </c>
      <c r="K126" t="str">
        <f t="shared" si="46"/>
        <v xml:space="preserve">OUTAGAMIE                     </v>
      </c>
      <c r="L126" t="str">
        <f t="shared" si="50"/>
        <v xml:space="preserve">APPLETON - DE PERE                 </v>
      </c>
      <c r="M126" t="str">
        <f>CLEAN("CAPITOL DRIVE OVERPASS B440317     ")</f>
        <v xml:space="preserve">CAPITOL DRIVE OVERPASS B440317     </v>
      </c>
      <c r="N126">
        <v>0.105</v>
      </c>
      <c r="O126" t="str">
        <f t="shared" si="43"/>
        <v xml:space="preserve">          </v>
      </c>
      <c r="P126" t="str">
        <f t="shared" si="47"/>
        <v xml:space="preserve">MAJORS                                                                                              </v>
      </c>
    </row>
    <row r="127" spans="1:16" x14ac:dyDescent="0.25">
      <c r="A127" t="str">
        <f t="shared" si="51"/>
        <v>10</v>
      </c>
      <c r="B127" t="str">
        <f t="shared" si="48"/>
        <v>23</v>
      </c>
      <c r="C127" s="1">
        <v>45335</v>
      </c>
      <c r="D127" t="str">
        <f>CLEAN("1130-64-76")</f>
        <v>1130-64-76</v>
      </c>
      <c r="E127" t="str">
        <f t="shared" si="45"/>
        <v xml:space="preserve">302  </v>
      </c>
      <c r="F127" t="str">
        <f>CLEAN("$25,000,000 - $29,999,999")</f>
        <v>$25,000,000 - $29,999,999</v>
      </c>
      <c r="G127" t="str">
        <f>CLEAN("LET")</f>
        <v>LET</v>
      </c>
      <c r="H127" t="str">
        <f>CLEAN("LET CONSTRUCTION         ")</f>
        <v xml:space="preserve">LET CONSTRUCTION         </v>
      </c>
      <c r="I127" t="str">
        <f>CLEAN("CONST/RECSTE STH 15 INTCHG         ")</f>
        <v xml:space="preserve">CONST/RECSTE STH 15 INTCHG         </v>
      </c>
      <c r="J127" t="str">
        <f t="shared" si="44"/>
        <v>IH  041</v>
      </c>
      <c r="K127" t="str">
        <f t="shared" si="46"/>
        <v xml:space="preserve">OUTAGAMIE                     </v>
      </c>
      <c r="L127" t="str">
        <f t="shared" si="50"/>
        <v xml:space="preserve">APPLETON - DE PERE                 </v>
      </c>
      <c r="M127" t="str">
        <f>CLEAN("NORTHLAND/STH 15 INTCHG B440315/16 ")</f>
        <v xml:space="preserve">NORTHLAND/STH 15 INTCHG B440315/16 </v>
      </c>
      <c r="N127">
        <v>0.50900000000000001</v>
      </c>
      <c r="O127" t="str">
        <f>CLEAN("1130-64-81")</f>
        <v>1130-64-81</v>
      </c>
      <c r="P127" t="str">
        <f t="shared" si="47"/>
        <v xml:space="preserve">MAJORS                                                                                              </v>
      </c>
    </row>
    <row r="128" spans="1:16" x14ac:dyDescent="0.25">
      <c r="A128" t="str">
        <f t="shared" si="51"/>
        <v>10</v>
      </c>
      <c r="B128" t="str">
        <f t="shared" si="48"/>
        <v>23</v>
      </c>
      <c r="C128" s="1">
        <v>45335</v>
      </c>
      <c r="D128" t="str">
        <f>CLEAN("1130-64-81")</f>
        <v>1130-64-81</v>
      </c>
      <c r="E128" t="str">
        <f t="shared" si="45"/>
        <v xml:space="preserve">302  </v>
      </c>
      <c r="F128" t="str">
        <f>CLEAN("$6,000,000 - $6,999,999  ")</f>
        <v xml:space="preserve">$6,000,000 - $6,999,999  </v>
      </c>
      <c r="G128" t="str">
        <f>CLEAN("LET")</f>
        <v>LET</v>
      </c>
      <c r="H128" t="str">
        <f>CLEAN("LET CONSTRUCTION         ")</f>
        <v xml:space="preserve">LET CONSTRUCTION         </v>
      </c>
      <c r="I128" t="str">
        <f>CLEAN("CONST/RECSTE B440317 OVERPASS      ")</f>
        <v xml:space="preserve">CONST/RECSTE B440317 OVERPASS      </v>
      </c>
      <c r="J128" t="str">
        <f t="shared" si="44"/>
        <v>IH  041</v>
      </c>
      <c r="K128" t="str">
        <f t="shared" si="46"/>
        <v xml:space="preserve">OUTAGAMIE                     </v>
      </c>
      <c r="L128" t="str">
        <f t="shared" si="50"/>
        <v xml:space="preserve">APPLETON - DE PERE                 </v>
      </c>
      <c r="M128" t="str">
        <f>CLEAN("CAPITOL DRIVE OVERPASS B440317     ")</f>
        <v xml:space="preserve">CAPITOL DRIVE OVERPASS B440317     </v>
      </c>
      <c r="N128">
        <v>0.307</v>
      </c>
      <c r="O128" t="str">
        <f>CLEAN("1130-64-76")</f>
        <v>1130-64-76</v>
      </c>
      <c r="P128" t="str">
        <f t="shared" si="47"/>
        <v xml:space="preserve">MAJORS                                                                                              </v>
      </c>
    </row>
    <row r="129" spans="1:16" x14ac:dyDescent="0.25">
      <c r="A129" t="str">
        <f t="shared" si="51"/>
        <v>10</v>
      </c>
      <c r="B129" t="str">
        <f t="shared" si="48"/>
        <v>23</v>
      </c>
      <c r="C129" s="1">
        <v>45498</v>
      </c>
      <c r="D129" t="str">
        <f>CLEAN("1130-64-88")</f>
        <v>1130-64-88</v>
      </c>
      <c r="E129" t="str">
        <f t="shared" si="45"/>
        <v xml:space="preserve">302  </v>
      </c>
      <c r="F129" t="str">
        <f>CLEAN("$0 - $99,999             ")</f>
        <v xml:space="preserve">$0 - $99,999             </v>
      </c>
      <c r="G129" t="str">
        <f>CLEAN("MIS")</f>
        <v>MIS</v>
      </c>
      <c r="H129" t="str">
        <f>CLEAN("NONLET CONSTR/REAL ESTATE")</f>
        <v>NONLET CONSTR/REAL ESTATE</v>
      </c>
      <c r="I129" t="str">
        <f>CLEAN("CONST/MISC STREET LIGHTING         ")</f>
        <v xml:space="preserve">CONST/MISC STREET LIGHTING         </v>
      </c>
      <c r="J129" t="str">
        <f t="shared" si="44"/>
        <v>IH  041</v>
      </c>
      <c r="K129" t="str">
        <f t="shared" si="46"/>
        <v xml:space="preserve">OUTAGAMIE                     </v>
      </c>
      <c r="L129" t="str">
        <f t="shared" si="50"/>
        <v xml:space="preserve">APPLETON - DE PERE                 </v>
      </c>
      <c r="M129" t="str">
        <f>CLEAN("CAPITOL DRIVE STREET LIGHTING      ")</f>
        <v xml:space="preserve">CAPITOL DRIVE STREET LIGHTING      </v>
      </c>
      <c r="N129">
        <v>5.8999999999999997E-2</v>
      </c>
      <c r="O129" t="str">
        <f>CLEAN("          ")</f>
        <v xml:space="preserve">          </v>
      </c>
      <c r="P129" t="str">
        <f t="shared" si="47"/>
        <v xml:space="preserve">MAJORS                                                                                              </v>
      </c>
    </row>
    <row r="130" spans="1:16" x14ac:dyDescent="0.25">
      <c r="A130" t="str">
        <f t="shared" si="51"/>
        <v>10</v>
      </c>
      <c r="B130" t="str">
        <f t="shared" si="48"/>
        <v>23</v>
      </c>
      <c r="C130" s="1">
        <v>45285</v>
      </c>
      <c r="D130" t="str">
        <f>CLEAN("1130-66-41")</f>
        <v>1130-66-41</v>
      </c>
      <c r="E130" t="str">
        <f t="shared" si="45"/>
        <v xml:space="preserve">302  </v>
      </c>
      <c r="F130" t="str">
        <f>CLEAN("$100,000-$249,999        ")</f>
        <v xml:space="preserve">$100,000-$249,999        </v>
      </c>
      <c r="G130" t="str">
        <f>CLEAN("UTL")</f>
        <v>UTL</v>
      </c>
      <c r="H130" t="str">
        <f>CLEAN("NONLET CONSTR/REAL ESTATE")</f>
        <v>NONLET CONSTR/REAL ESTATE</v>
      </c>
      <c r="I130" t="str">
        <f>CLEAN("UTL/ELEC FACILITIES RELOC UA 623   ")</f>
        <v xml:space="preserve">UTL/ELEC FACILITIES RELOC UA 623   </v>
      </c>
      <c r="J130" t="str">
        <f t="shared" si="44"/>
        <v>IH  041</v>
      </c>
      <c r="K130" t="str">
        <f t="shared" si="46"/>
        <v xml:space="preserve">OUTAGAMIE                     </v>
      </c>
      <c r="L130" t="str">
        <f t="shared" si="50"/>
        <v xml:space="preserve">APPLETON - DE PERE                 </v>
      </c>
      <c r="M130" t="str">
        <f>CLEAN("ROSE HILL RD/CTH CC OVERPASS       ")</f>
        <v xml:space="preserve">ROSE HILL RD/CTH CC OVERPASS       </v>
      </c>
      <c r="N130">
        <v>0.20899999999999999</v>
      </c>
      <c r="O130" t="str">
        <f>CLEAN("          ")</f>
        <v xml:space="preserve">          </v>
      </c>
      <c r="P130" t="str">
        <f t="shared" si="47"/>
        <v xml:space="preserve">MAJORS                                                                                              </v>
      </c>
    </row>
    <row r="131" spans="1:16" x14ac:dyDescent="0.25">
      <c r="A131" t="str">
        <f t="shared" si="51"/>
        <v>10</v>
      </c>
      <c r="B131" t="str">
        <f t="shared" si="48"/>
        <v>23</v>
      </c>
      <c r="C131" s="1">
        <v>45426</v>
      </c>
      <c r="D131" t="str">
        <f>CLEAN("1130-66-76")</f>
        <v>1130-66-76</v>
      </c>
      <c r="E131" t="str">
        <f t="shared" si="45"/>
        <v xml:space="preserve">302  </v>
      </c>
      <c r="F131" t="str">
        <f>CLEAN("$2,000,000 - $2,999,999  ")</f>
        <v xml:space="preserve">$2,000,000 - $2,999,999  </v>
      </c>
      <c r="G131" t="str">
        <f>CLEAN("LET")</f>
        <v>LET</v>
      </c>
      <c r="H131" t="str">
        <f>CLEAN("LET CONSTRUCTION         ")</f>
        <v xml:space="preserve">LET CONSTRUCTION         </v>
      </c>
      <c r="I131" t="str">
        <f>CLEAN("CONST/RECSTE IH 41/CTH N INTCHG    ")</f>
        <v xml:space="preserve">CONST/RECSTE IH 41/CTH N INTCHG    </v>
      </c>
      <c r="J131" t="str">
        <f>CLEAN("CTH N  ")</f>
        <v xml:space="preserve">CTH N  </v>
      </c>
      <c r="K131" t="str">
        <f t="shared" si="46"/>
        <v xml:space="preserve">OUTAGAMIE                     </v>
      </c>
      <c r="L131" t="str">
        <f t="shared" si="50"/>
        <v xml:space="preserve">APPLETON - DE PERE                 </v>
      </c>
      <c r="M131" t="str">
        <f>CLEAN("CTH N INTCHG                       ")</f>
        <v xml:space="preserve">CTH N INTCHG                       </v>
      </c>
      <c r="N131">
        <v>0.50700000000000001</v>
      </c>
      <c r="O131" t="str">
        <f>CLEAN("          ")</f>
        <v xml:space="preserve">          </v>
      </c>
      <c r="P131" t="str">
        <f t="shared" si="47"/>
        <v xml:space="preserve">MAJORS                                                                                              </v>
      </c>
    </row>
    <row r="132" spans="1:16" x14ac:dyDescent="0.25">
      <c r="A132" t="str">
        <f t="shared" si="51"/>
        <v>10</v>
      </c>
      <c r="B132" t="str">
        <f t="shared" si="48"/>
        <v>23</v>
      </c>
      <c r="C132" s="1">
        <v>45608</v>
      </c>
      <c r="D132" t="str">
        <f>CLEAN("1130-66-78")</f>
        <v>1130-66-78</v>
      </c>
      <c r="E132" t="str">
        <f t="shared" si="45"/>
        <v xml:space="preserve">302  </v>
      </c>
      <c r="F132" t="str">
        <f>CLEAN("$6,000,000 - $6,999,999  ")</f>
        <v xml:space="preserve">$6,000,000 - $6,999,999  </v>
      </c>
      <c r="G132" t="str">
        <f>CLEAN("LET")</f>
        <v>LET</v>
      </c>
      <c r="H132" t="str">
        <f>CLEAN("LET CONSTRUCTION         ")</f>
        <v xml:space="preserve">LET CONSTRUCTION         </v>
      </c>
      <c r="I132" t="str">
        <f>CLEAN("CONST/RECSTE CTH J INTERCHANGE     ")</f>
        <v xml:space="preserve">CONST/RECSTE CTH J INTERCHANGE     </v>
      </c>
      <c r="J132" t="str">
        <f t="shared" ref="J132:J137" si="52">CLEAN("IH  041")</f>
        <v>IH  041</v>
      </c>
      <c r="K132" t="str">
        <f t="shared" si="46"/>
        <v xml:space="preserve">OUTAGAMIE                     </v>
      </c>
      <c r="L132" t="str">
        <f t="shared" si="50"/>
        <v xml:space="preserve">APPLETON - DE PERE                 </v>
      </c>
      <c r="M132" t="str">
        <f>CLEAN("CTH J INTERCHANGE                  ")</f>
        <v xml:space="preserve">CTH J INTERCHANGE                  </v>
      </c>
      <c r="N132">
        <v>0.53</v>
      </c>
      <c r="O132" t="str">
        <f>CLEAN("          ")</f>
        <v xml:space="preserve">          </v>
      </c>
      <c r="P132" t="str">
        <f t="shared" si="47"/>
        <v xml:space="preserve">MAJORS                                                                                              </v>
      </c>
    </row>
    <row r="133" spans="1:16" x14ac:dyDescent="0.25">
      <c r="A133" t="str">
        <f t="shared" si="51"/>
        <v>10</v>
      </c>
      <c r="B133" t="str">
        <f t="shared" si="48"/>
        <v>23</v>
      </c>
      <c r="C133" s="1">
        <v>45608</v>
      </c>
      <c r="D133" t="str">
        <f>CLEAN("1130-66-80")</f>
        <v>1130-66-80</v>
      </c>
      <c r="E133" t="str">
        <f t="shared" si="45"/>
        <v xml:space="preserve">302  </v>
      </c>
      <c r="F133" t="str">
        <f>CLEAN("$5,000,000 - $5,999,999  ")</f>
        <v xml:space="preserve">$5,000,000 - $5,999,999  </v>
      </c>
      <c r="G133" t="str">
        <f>CLEAN("LET")</f>
        <v>LET</v>
      </c>
      <c r="H133" t="str">
        <f>CLEAN("LET CONSTRUCTION         ")</f>
        <v xml:space="preserve">LET CONSTRUCTION         </v>
      </c>
      <c r="I133" t="str">
        <f>CLEAN("CONST/RECSTE OVERPASS B440330      ")</f>
        <v xml:space="preserve">CONST/RECSTE OVERPASS B440330      </v>
      </c>
      <c r="J133" t="str">
        <f t="shared" si="52"/>
        <v>IH  041</v>
      </c>
      <c r="K133" t="str">
        <f t="shared" si="46"/>
        <v xml:space="preserve">OUTAGAMIE                     </v>
      </c>
      <c r="L133" t="str">
        <f t="shared" si="50"/>
        <v xml:space="preserve">APPLETON - DE PERE                 </v>
      </c>
      <c r="M133" t="str">
        <f>CLEAN("HOLLAND ROAD OVERPASS              ")</f>
        <v xml:space="preserve">HOLLAND ROAD OVERPASS              </v>
      </c>
      <c r="N133">
        <v>0.4</v>
      </c>
      <c r="O133" t="str">
        <f>CLEAN("1130-66-81")</f>
        <v>1130-66-81</v>
      </c>
      <c r="P133" t="str">
        <f t="shared" si="47"/>
        <v xml:space="preserve">MAJORS                                                                                              </v>
      </c>
    </row>
    <row r="134" spans="1:16" x14ac:dyDescent="0.25">
      <c r="A134" t="str">
        <f t="shared" si="51"/>
        <v>10</v>
      </c>
      <c r="B134" t="str">
        <f t="shared" si="48"/>
        <v>23</v>
      </c>
      <c r="C134" s="1">
        <v>45608</v>
      </c>
      <c r="D134" t="str">
        <f>CLEAN("1130-66-81")</f>
        <v>1130-66-81</v>
      </c>
      <c r="E134" t="str">
        <f t="shared" si="45"/>
        <v xml:space="preserve">302  </v>
      </c>
      <c r="F134" t="str">
        <f>CLEAN("$4,000,000 - $4,999,999  ")</f>
        <v xml:space="preserve">$4,000,000 - $4,999,999  </v>
      </c>
      <c r="G134" t="str">
        <f>CLEAN("LET")</f>
        <v>LET</v>
      </c>
      <c r="H134" t="str">
        <f>CLEAN("LET CONSTRUCTION         ")</f>
        <v xml:space="preserve">LET CONSTRUCTION         </v>
      </c>
      <c r="I134" t="str">
        <f>CLEAN("CONST/RECSTE OVERPASS B440331      ")</f>
        <v xml:space="preserve">CONST/RECSTE OVERPASS B440331      </v>
      </c>
      <c r="J134" t="str">
        <f t="shared" si="52"/>
        <v>IH  041</v>
      </c>
      <c r="K134" t="str">
        <f t="shared" si="46"/>
        <v xml:space="preserve">OUTAGAMIE                     </v>
      </c>
      <c r="L134" t="str">
        <f t="shared" si="50"/>
        <v xml:space="preserve">APPLETON - DE PERE                 </v>
      </c>
      <c r="M134" t="str">
        <f>CLEAN("VANDENBROEK RD OVERPASS            ")</f>
        <v xml:space="preserve">VANDENBROEK RD OVERPASS            </v>
      </c>
      <c r="N134">
        <v>4.2699999999999996</v>
      </c>
      <c r="O134" t="str">
        <f>CLEAN("1130-66-80")</f>
        <v>1130-66-80</v>
      </c>
      <c r="P134" t="str">
        <f t="shared" si="47"/>
        <v xml:space="preserve">MAJORS                                                                                              </v>
      </c>
    </row>
    <row r="135" spans="1:16" x14ac:dyDescent="0.25">
      <c r="A135" t="str">
        <f t="shared" si="51"/>
        <v>10</v>
      </c>
      <c r="B135" t="str">
        <f t="shared" si="48"/>
        <v>23</v>
      </c>
      <c r="C135" s="1">
        <v>45363</v>
      </c>
      <c r="D135" t="str">
        <f>CLEAN("1130-66-83")</f>
        <v>1130-66-83</v>
      </c>
      <c r="E135" t="str">
        <f t="shared" si="45"/>
        <v xml:space="preserve">302  </v>
      </c>
      <c r="F135" t="str">
        <f>CLEAN("$5,000,000 - $5,999,999  ")</f>
        <v xml:space="preserve">$5,000,000 - $5,999,999  </v>
      </c>
      <c r="G135" t="str">
        <f>CLEAN("LET")</f>
        <v>LET</v>
      </c>
      <c r="H135" t="str">
        <f>CLEAN("LET CONSTRUCTION         ")</f>
        <v xml:space="preserve">LET CONSTRUCTION         </v>
      </c>
      <c r="I135" t="str">
        <f>CLEAN("CONST/RECSTE OVERPASS B440333      ")</f>
        <v xml:space="preserve">CONST/RECSTE OVERPASS B440333      </v>
      </c>
      <c r="J135" t="str">
        <f t="shared" si="52"/>
        <v>IH  041</v>
      </c>
      <c r="K135" t="str">
        <f t="shared" si="46"/>
        <v xml:space="preserve">OUTAGAMIE                     </v>
      </c>
      <c r="L135" t="str">
        <f t="shared" si="50"/>
        <v xml:space="preserve">APPLETON - DE PERE                 </v>
      </c>
      <c r="M135" t="str">
        <f>CLEAN("ROSE HILL RD/CTH CC OVERPASS       ")</f>
        <v xml:space="preserve">ROSE HILL RD/CTH CC OVERPASS       </v>
      </c>
      <c r="N135">
        <v>0.27500000000000002</v>
      </c>
      <c r="O135" t="str">
        <f t="shared" ref="O135:O144" si="53">CLEAN("          ")</f>
        <v xml:space="preserve">          </v>
      </c>
      <c r="P135" t="str">
        <f t="shared" si="47"/>
        <v xml:space="preserve">MAJORS                                                                                              </v>
      </c>
    </row>
    <row r="136" spans="1:16" x14ac:dyDescent="0.25">
      <c r="A136" t="str">
        <f t="shared" si="51"/>
        <v>10</v>
      </c>
      <c r="B136" t="str">
        <f t="shared" si="48"/>
        <v>23</v>
      </c>
      <c r="C136" s="1">
        <v>45590</v>
      </c>
      <c r="D136" t="str">
        <f>CLEAN("1130-67-40")</f>
        <v>1130-67-40</v>
      </c>
      <c r="E136" t="str">
        <f t="shared" si="45"/>
        <v xml:space="preserve">302  </v>
      </c>
      <c r="F136" t="str">
        <f>CLEAN("$5,000,000 - $5,999,999  ")</f>
        <v xml:space="preserve">$5,000,000 - $5,999,999  </v>
      </c>
      <c r="G136" t="str">
        <f>CLEAN("UTL")</f>
        <v>UTL</v>
      </c>
      <c r="H136" t="str">
        <f>CLEAN("NONLET CONSTR/REAL ESTATE")</f>
        <v>NONLET CONSTR/REAL ESTATE</v>
      </c>
      <c r="I136" t="str">
        <f>CLEAN("UTL RELOCATION/IH41 UTL PLACEHOLDER")</f>
        <v>UTL RELOCATION/IH41 UTL PLACEHOLDER</v>
      </c>
      <c r="J136" t="str">
        <f t="shared" si="52"/>
        <v>IH  041</v>
      </c>
      <c r="K136" t="str">
        <f t="shared" si="46"/>
        <v xml:space="preserve">OUTAGAMIE                     </v>
      </c>
      <c r="L136" t="str">
        <f t="shared" si="50"/>
        <v xml:space="preserve">APPLETON - DE PERE                 </v>
      </c>
      <c r="M136" t="str">
        <f>CLEAN("CTH J - MINERS WAY UTL PLACEHOLDER ")</f>
        <v xml:space="preserve">CTH J - MINERS WAY UTL PLACEHOLDER </v>
      </c>
      <c r="N136">
        <v>5.88</v>
      </c>
      <c r="O136" t="str">
        <f t="shared" si="53"/>
        <v xml:space="preserve">          </v>
      </c>
      <c r="P136" t="str">
        <f t="shared" si="47"/>
        <v xml:space="preserve">MAJORS                                                                                              </v>
      </c>
    </row>
    <row r="137" spans="1:16" x14ac:dyDescent="0.25">
      <c r="A137" t="str">
        <f t="shared" si="51"/>
        <v>10</v>
      </c>
      <c r="B137" t="str">
        <f t="shared" si="48"/>
        <v>23</v>
      </c>
      <c r="C137" s="1">
        <v>45407</v>
      </c>
      <c r="D137" t="str">
        <f>CLEAN("1130-68-40")</f>
        <v>1130-68-40</v>
      </c>
      <c r="E137" t="str">
        <f t="shared" si="45"/>
        <v xml:space="preserve">302  </v>
      </c>
      <c r="F137" t="str">
        <f>CLEAN("$1,000,000 - $1,999,999  ")</f>
        <v xml:space="preserve">$1,000,000 - $1,999,999  </v>
      </c>
      <c r="G137" t="str">
        <f>CLEAN("UTL")</f>
        <v>UTL</v>
      </c>
      <c r="H137" t="str">
        <f>CLEAN("NONLET CONSTR/REAL ESTATE")</f>
        <v>NONLET CONSTR/REAL ESTATE</v>
      </c>
      <c r="I137" t="str">
        <f>CLEAN("UTL RELOCATION/IH41 UTL PLACEHOLDER")</f>
        <v>UTL RELOCATION/IH41 UTL PLACEHOLDER</v>
      </c>
      <c r="J137" t="str">
        <f t="shared" si="52"/>
        <v>IH  041</v>
      </c>
      <c r="K137" t="str">
        <f>CLEAN("BROWN                         ")</f>
        <v xml:space="preserve">BROWN                         </v>
      </c>
      <c r="L137" t="str">
        <f t="shared" si="50"/>
        <v xml:space="preserve">APPLETON - DE PERE                 </v>
      </c>
      <c r="M137" t="str">
        <f>CLEAN("MINERS WAY - CTH F UTL PLACEHOLDER ")</f>
        <v xml:space="preserve">MINERS WAY - CTH F UTL PLACEHOLDER </v>
      </c>
      <c r="N137">
        <v>5.3979999999999997</v>
      </c>
      <c r="O137" t="str">
        <f t="shared" si="53"/>
        <v xml:space="preserve">          </v>
      </c>
      <c r="P137" t="str">
        <f t="shared" si="47"/>
        <v xml:space="preserve">MAJORS                                                                                              </v>
      </c>
    </row>
    <row r="138" spans="1:16" x14ac:dyDescent="0.25">
      <c r="A138" t="str">
        <f t="shared" si="51"/>
        <v>10</v>
      </c>
      <c r="B138" t="str">
        <f t="shared" si="48"/>
        <v>23</v>
      </c>
      <c r="C138" s="1">
        <v>45482</v>
      </c>
      <c r="D138" t="str">
        <f>CLEAN("1130-68-81")</f>
        <v>1130-68-81</v>
      </c>
      <c r="E138" t="str">
        <f t="shared" si="45"/>
        <v xml:space="preserve">302  </v>
      </c>
      <c r="F138" t="str">
        <f>CLEAN("$15,000,000 - $16,999,999")</f>
        <v>$15,000,000 - $16,999,999</v>
      </c>
      <c r="G138" t="str">
        <f>CLEAN("LET")</f>
        <v>LET</v>
      </c>
      <c r="H138" t="str">
        <f>CLEAN("LET CONSTRUCTION         ")</f>
        <v xml:space="preserve">LET CONSTRUCTION         </v>
      </c>
      <c r="I138" t="str">
        <f>CLEAN("CONST/RECSTE SBC FRONTAGE ROADS    ")</f>
        <v xml:space="preserve">CONST/RECSTE SBC FRONTAGE ROADS    </v>
      </c>
      <c r="J138" t="str">
        <f>CLEAN("LOC STR")</f>
        <v>LOC STR</v>
      </c>
      <c r="K138" t="str">
        <f>CLEAN("BROWN                         ")</f>
        <v xml:space="preserve">BROWN                         </v>
      </c>
      <c r="L138" t="str">
        <f t="shared" si="50"/>
        <v xml:space="preserve">APPLETON - DE PERE                 </v>
      </c>
      <c r="M138" t="str">
        <f>CLEAN("SBC EARLY FILL &amp; FRONTAGE ROADS    ")</f>
        <v xml:space="preserve">SBC EARLY FILL &amp; FRONTAGE ROADS    </v>
      </c>
      <c r="N138">
        <v>0.502</v>
      </c>
      <c r="O138" t="str">
        <f t="shared" si="53"/>
        <v xml:space="preserve">          </v>
      </c>
      <c r="P138" t="str">
        <f t="shared" si="47"/>
        <v xml:space="preserve">MAJORS                                                                                              </v>
      </c>
    </row>
    <row r="139" spans="1:16" x14ac:dyDescent="0.25">
      <c r="A139" t="str">
        <f t="shared" si="51"/>
        <v>10</v>
      </c>
      <c r="B139" t="str">
        <f t="shared" si="48"/>
        <v>23</v>
      </c>
      <c r="C139" s="1">
        <v>45651</v>
      </c>
      <c r="D139" t="str">
        <f>CLEAN("1146-75-41")</f>
        <v>1146-75-41</v>
      </c>
      <c r="E139" t="str">
        <f t="shared" si="45"/>
        <v xml:space="preserve">302  </v>
      </c>
      <c r="F139" t="str">
        <f>CLEAN("$500,000 - $749,999      ")</f>
        <v xml:space="preserve">$500,000 - $749,999      </v>
      </c>
      <c r="G139" t="str">
        <f>CLEAN("UTL")</f>
        <v>UTL</v>
      </c>
      <c r="H139" t="str">
        <f>CLEAN("NONLET CONSTR/REAL ESTATE")</f>
        <v>NONLET CONSTR/REAL ESTATE</v>
      </c>
      <c r="I139" t="str">
        <f>CLEAN("EX- UTL                            ")</f>
        <v xml:space="preserve">EX- UTL                            </v>
      </c>
      <c r="J139" t="str">
        <f>CLEAN("STH 015")</f>
        <v>STH 015</v>
      </c>
      <c r="K139" t="str">
        <f>CLEAN("OUTAGAMIE                     ")</f>
        <v xml:space="preserve">OUTAGAMIE                     </v>
      </c>
      <c r="L139" t="str">
        <f>CLEAN("STH 76-NEW LONDON                  ")</f>
        <v xml:space="preserve">STH 76-NEW LONDON                  </v>
      </c>
      <c r="M139" t="str">
        <f>CLEAN("WI CENTRAL RR-CTH JJ               ")</f>
        <v xml:space="preserve">WI CENTRAL RR-CTH JJ               </v>
      </c>
      <c r="N139">
        <v>10.82</v>
      </c>
      <c r="O139" t="str">
        <f t="shared" si="53"/>
        <v xml:space="preserve">          </v>
      </c>
      <c r="P139" t="str">
        <f t="shared" si="47"/>
        <v xml:space="preserve">MAJORS                                                                                              </v>
      </c>
    </row>
    <row r="140" spans="1:16" x14ac:dyDescent="0.25">
      <c r="A140" t="str">
        <f t="shared" si="51"/>
        <v>10</v>
      </c>
      <c r="B140" t="str">
        <f t="shared" si="48"/>
        <v>23</v>
      </c>
      <c r="C140" s="1">
        <v>45335</v>
      </c>
      <c r="D140" t="str">
        <f>CLEAN("1146-75-80")</f>
        <v>1146-75-80</v>
      </c>
      <c r="E140" t="str">
        <f t="shared" si="45"/>
        <v xml:space="preserve">302  </v>
      </c>
      <c r="F140" t="str">
        <f>CLEAN("$250,000 - $499,999      ")</f>
        <v xml:space="preserve">$250,000 - $499,999      </v>
      </c>
      <c r="G140" t="str">
        <f>CLEAN("LET")</f>
        <v>LET</v>
      </c>
      <c r="H140" t="str">
        <f>CLEAN("LET CONSTRUCTION         ")</f>
        <v xml:space="preserve">LET CONSTRUCTION         </v>
      </c>
      <c r="I140" t="str">
        <f>CLEAN("CONST/BRPVTV                       ")</f>
        <v xml:space="preserve">CONST/BRPVTV                       </v>
      </c>
      <c r="J140" t="str">
        <f>CLEAN("STH 015")</f>
        <v>STH 015</v>
      </c>
      <c r="K140" t="str">
        <f>CLEAN("OUTAGAMIE                     ")</f>
        <v xml:space="preserve">OUTAGAMIE                     </v>
      </c>
      <c r="L140" t="str">
        <f>CLEAN("STH 76 - NEW LONDON                ")</f>
        <v xml:space="preserve">STH 76 - NEW LONDON                </v>
      </c>
      <c r="M140" t="str">
        <f>CLEAN("CTH JJ - CTH T/GIVENS RD           ")</f>
        <v xml:space="preserve">CTH JJ - CTH T/GIVENS RD           </v>
      </c>
      <c r="N140">
        <v>2.1440000000000001</v>
      </c>
      <c r="O140" t="str">
        <f t="shared" si="53"/>
        <v xml:space="preserve">          </v>
      </c>
      <c r="P140" t="str">
        <f t="shared" si="47"/>
        <v xml:space="preserve">MAJORS                                                                                              </v>
      </c>
    </row>
    <row r="141" spans="1:16" x14ac:dyDescent="0.25">
      <c r="A141" t="str">
        <f t="shared" si="51"/>
        <v>10</v>
      </c>
      <c r="B141" t="str">
        <f t="shared" si="48"/>
        <v>23</v>
      </c>
      <c r="C141" s="1">
        <v>45426</v>
      </c>
      <c r="D141" t="str">
        <f>CLEAN("1146-75-81")</f>
        <v>1146-75-81</v>
      </c>
      <c r="E141" t="str">
        <f t="shared" si="45"/>
        <v xml:space="preserve">302  </v>
      </c>
      <c r="F141" t="str">
        <f>CLEAN("$750,000 - $999,999      ")</f>
        <v xml:space="preserve">$750,000 - $999,999      </v>
      </c>
      <c r="G141" t="str">
        <f>CLEAN("LET")</f>
        <v>LET</v>
      </c>
      <c r="H141" t="str">
        <f>CLEAN("LET CONSTRUCTION         ")</f>
        <v xml:space="preserve">LET CONSTRUCTION         </v>
      </c>
      <c r="I141" t="str">
        <f>CLEAN("EX-SALT SHED                       ")</f>
        <v xml:space="preserve">EX-SALT SHED                       </v>
      </c>
      <c r="J141" t="str">
        <f>CLEAN("STH 015")</f>
        <v>STH 015</v>
      </c>
      <c r="K141" t="str">
        <f>CLEAN("OUTAGAMIE                     ")</f>
        <v xml:space="preserve">OUTAGAMIE                     </v>
      </c>
      <c r="L141" t="str">
        <f>CLEAN("STH 76 - NEW LONDON                ")</f>
        <v xml:space="preserve">STH 76 - NEW LONDON                </v>
      </c>
      <c r="M141" t="str">
        <f>CLEAN("CTH JJ - CTH T/GIVENS RD           ")</f>
        <v xml:space="preserve">CTH JJ - CTH T/GIVENS RD           </v>
      </c>
      <c r="N141">
        <v>0.5</v>
      </c>
      <c r="O141" t="str">
        <f t="shared" si="53"/>
        <v xml:space="preserve">          </v>
      </c>
      <c r="P141" t="str">
        <f t="shared" si="47"/>
        <v xml:space="preserve">MAJORS                                                                                              </v>
      </c>
    </row>
    <row r="142" spans="1:16" x14ac:dyDescent="0.25">
      <c r="A142" t="str">
        <f t="shared" si="51"/>
        <v>10</v>
      </c>
      <c r="B142" t="str">
        <f t="shared" si="48"/>
        <v>23</v>
      </c>
      <c r="C142" s="1">
        <v>45316</v>
      </c>
      <c r="D142" t="str">
        <f>CLEAN("1146-75-92")</f>
        <v>1146-75-92</v>
      </c>
      <c r="E142" t="str">
        <f t="shared" si="45"/>
        <v xml:space="preserve">302  </v>
      </c>
      <c r="F142" t="str">
        <f>CLEAN("$0 - $99,999             ")</f>
        <v xml:space="preserve">$0 - $99,999             </v>
      </c>
      <c r="G142" t="str">
        <f>CLEAN("SFA")</f>
        <v>SFA</v>
      </c>
      <c r="H142" t="str">
        <f>CLEAN("NONLET CONSTR/REAL ESTATE")</f>
        <v>NONLET CONSTR/REAL ESTATE</v>
      </c>
      <c r="I142" t="str">
        <f>CLEAN("TRF MIT 1146-75-71/72/73/76/77     ")</f>
        <v xml:space="preserve">TRF MIT 1146-75-71/72/73/76/77     </v>
      </c>
      <c r="J142" t="str">
        <f>CLEAN("STH 015")</f>
        <v>STH 015</v>
      </c>
      <c r="K142" t="str">
        <f>CLEAN("OUTAGAMIE                     ")</f>
        <v xml:space="preserve">OUTAGAMIE                     </v>
      </c>
      <c r="L142" t="str">
        <f>CLEAN("USH 45 - STH 76                    ")</f>
        <v xml:space="preserve">USH 45 - STH 76                    </v>
      </c>
      <c r="M142" t="str">
        <f>CLEAN("STH 76 - NEW LONDON                ")</f>
        <v xml:space="preserve">STH 76 - NEW LONDON                </v>
      </c>
      <c r="N142">
        <v>10.08</v>
      </c>
      <c r="O142" t="str">
        <f t="shared" si="53"/>
        <v xml:space="preserve">          </v>
      </c>
      <c r="P142" t="str">
        <f t="shared" si="47"/>
        <v xml:space="preserve">MAJORS                                                                                              </v>
      </c>
    </row>
    <row r="143" spans="1:16" x14ac:dyDescent="0.25">
      <c r="A143" t="str">
        <f t="shared" si="51"/>
        <v>10</v>
      </c>
      <c r="B143" t="str">
        <f t="shared" si="48"/>
        <v>23</v>
      </c>
      <c r="C143" s="1">
        <v>45468</v>
      </c>
      <c r="D143" t="str">
        <f>CLEAN("1150-64-50")</f>
        <v>1150-64-50</v>
      </c>
      <c r="E143" t="str">
        <f t="shared" ref="E143:E179" si="54">CLEAN("303  ")</f>
        <v xml:space="preserve">303  </v>
      </c>
      <c r="F143" t="str">
        <f>CLEAN("$100,000-$249,999        ")</f>
        <v xml:space="preserve">$100,000-$249,999        </v>
      </c>
      <c r="G143" t="str">
        <f>CLEAN("R/R")</f>
        <v>R/R</v>
      </c>
      <c r="H143" t="str">
        <f>CLEAN("NONLET CONSTR/REAL ESTATE")</f>
        <v>NONLET CONSTR/REAL ESTATE</v>
      </c>
      <c r="I143" t="str">
        <f>CLEAN("RR SIGNAL INTERCONNECT             ")</f>
        <v xml:space="preserve">RR SIGNAL INTERCONNECT             </v>
      </c>
      <c r="J143" t="str">
        <f>CLEAN("USH 041")</f>
        <v>USH 041</v>
      </c>
      <c r="K143" t="str">
        <f>CLEAN("MARINETTE                     ")</f>
        <v xml:space="preserve">MARINETTE                     </v>
      </c>
      <c r="L143" t="str">
        <f>CLEAN("PESHTIGO-MARINETTE                 ")</f>
        <v xml:space="preserve">PESHTIGO-MARINETTE                 </v>
      </c>
      <c r="M143" t="str">
        <f>CLEAN("CTH T, CNRR XING 181588V SIGNAL    ")</f>
        <v xml:space="preserve">CTH T, CNRR XING 181588V SIGNAL    </v>
      </c>
      <c r="N143">
        <v>0</v>
      </c>
      <c r="O143" t="str">
        <f t="shared" si="53"/>
        <v xml:space="preserve">          </v>
      </c>
      <c r="P14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44" spans="1:16" x14ac:dyDescent="0.25">
      <c r="A144" t="str">
        <f t="shared" si="51"/>
        <v>10</v>
      </c>
      <c r="B144" t="str">
        <f t="shared" si="48"/>
        <v>23</v>
      </c>
      <c r="C144" s="1">
        <v>45272</v>
      </c>
      <c r="D144" t="str">
        <f>CLEAN("1150-64-71")</f>
        <v>1150-64-71</v>
      </c>
      <c r="E144" t="str">
        <f t="shared" si="54"/>
        <v xml:space="preserve">303  </v>
      </c>
      <c r="F144" t="str">
        <f>CLEAN("$3,000,000 - $3,999,999  ")</f>
        <v xml:space="preserve">$3,000,000 - $3,999,999  </v>
      </c>
      <c r="G144" t="str">
        <f t="shared" ref="G144:G155" si="55">CLEAN("LET")</f>
        <v>LET</v>
      </c>
      <c r="H144" t="str">
        <f t="shared" ref="H144:H155" si="56">CLEAN("LET CONSTRUCTION         ")</f>
        <v xml:space="preserve">LET CONSTRUCTION         </v>
      </c>
      <c r="I144" t="str">
        <f>CLEAN("CONST/RSRF20                       ")</f>
        <v xml:space="preserve">CONST/RSRF20                       </v>
      </c>
      <c r="J144" t="str">
        <f>CLEAN("USH 041")</f>
        <v>USH 041</v>
      </c>
      <c r="K144" t="str">
        <f>CLEAN("MARINETTE                     ")</f>
        <v xml:space="preserve">MARINETTE                     </v>
      </c>
      <c r="L144" t="str">
        <f>CLEAN("PESHTIGO-MARINETTE                 ")</f>
        <v xml:space="preserve">PESHTIGO-MARINETTE                 </v>
      </c>
      <c r="M144" t="str">
        <f>CLEAN("PESHTIGO BYPASS-CTH T              ")</f>
        <v xml:space="preserve">PESHTIGO BYPASS-CTH T              </v>
      </c>
      <c r="N144">
        <v>2.6949999999999998</v>
      </c>
      <c r="O144" t="str">
        <f t="shared" si="53"/>
        <v xml:space="preserve">          </v>
      </c>
      <c r="P14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45" spans="1:16" x14ac:dyDescent="0.25">
      <c r="A145" t="str">
        <f t="shared" si="51"/>
        <v>10</v>
      </c>
      <c r="B145" t="str">
        <f t="shared" ref="B145:B165" si="57">CLEAN("24")</f>
        <v>24</v>
      </c>
      <c r="C145" s="1">
        <v>45426</v>
      </c>
      <c r="D145" t="str">
        <f>CLEAN("1166-00-66")</f>
        <v>1166-00-66</v>
      </c>
      <c r="E145" t="str">
        <f t="shared" si="54"/>
        <v xml:space="preserve">303  </v>
      </c>
      <c r="F145" t="str">
        <f>CLEAN("$500,000 - $749,999      ")</f>
        <v xml:space="preserve">$500,000 - $749,999      </v>
      </c>
      <c r="G145" t="str">
        <f t="shared" si="55"/>
        <v>LET</v>
      </c>
      <c r="H145" t="str">
        <f t="shared" si="56"/>
        <v xml:space="preserve">LET CONSTRUCTION         </v>
      </c>
      <c r="I145" t="str">
        <f>CLEAN("CONST/BRIDGE PREVENTIVE            ")</f>
        <v xml:space="preserve">CONST/BRIDGE PREVENTIVE            </v>
      </c>
      <c r="J145" t="str">
        <f t="shared" ref="J145:J154" si="58">CLEAN("IH  039")</f>
        <v>IH  039</v>
      </c>
      <c r="K145" t="str">
        <f t="shared" ref="K145:K153" si="59">CLEAN("MARATHON                      ")</f>
        <v xml:space="preserve">MARATHON                      </v>
      </c>
      <c r="L145" t="str">
        <f t="shared" ref="L145:L153" si="60">CLEAN("STEVENS POINT - WAUSAU             ")</f>
        <v xml:space="preserve">STEVENS POINT - WAUSAU             </v>
      </c>
      <c r="M145" t="str">
        <f>CLEAN("POLYMER OVERLAYS B37-0075; 0108    ")</f>
        <v xml:space="preserve">POLYMER OVERLAYS B37-0075; 0108    </v>
      </c>
      <c r="N145">
        <v>0</v>
      </c>
      <c r="O145" t="str">
        <f>CLEAN("6610-00-66")</f>
        <v>6610-00-66</v>
      </c>
      <c r="P145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46" spans="1:16" x14ac:dyDescent="0.25">
      <c r="A146" t="str">
        <f t="shared" si="51"/>
        <v>10</v>
      </c>
      <c r="B146" t="str">
        <f t="shared" si="57"/>
        <v>24</v>
      </c>
      <c r="C146" s="1">
        <v>45636</v>
      </c>
      <c r="D146" t="str">
        <f>CLEAN("1166-01-84")</f>
        <v>1166-01-84</v>
      </c>
      <c r="E146" t="str">
        <f t="shared" si="54"/>
        <v xml:space="preserve">303  </v>
      </c>
      <c r="F146" t="str">
        <f>CLEAN("$2,000,000 - $2,999,999  ")</f>
        <v xml:space="preserve">$2,000,000 - $2,999,999  </v>
      </c>
      <c r="G146" t="str">
        <f t="shared" si="55"/>
        <v>LET</v>
      </c>
      <c r="H146" t="str">
        <f t="shared" si="56"/>
        <v xml:space="preserve">LET CONSTRUCTION         </v>
      </c>
      <c r="I146" t="str">
        <f t="shared" ref="I146:I153" si="61">CLEAN("CONST/RESURFACE                    ")</f>
        <v xml:space="preserve">CONST/RESURFACE                    </v>
      </c>
      <c r="J146" t="str">
        <f t="shared" si="58"/>
        <v>IH  039</v>
      </c>
      <c r="K146" t="str">
        <f t="shared" si="59"/>
        <v xml:space="preserve">MARATHON                      </v>
      </c>
      <c r="L146" t="str">
        <f t="shared" si="60"/>
        <v xml:space="preserve">STEVENS POINT - WAUSAU             </v>
      </c>
      <c r="M146" t="str">
        <f>CLEAN("BUSINESS 51 TO FOXGLOVE ROAD       ")</f>
        <v xml:space="preserve">BUSINESS 51 TO FOXGLOVE ROAD       </v>
      </c>
      <c r="N146">
        <v>1.706</v>
      </c>
      <c r="O146" t="str">
        <f>CLEAN("1166-05-81")</f>
        <v>1166-05-81</v>
      </c>
      <c r="P146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47" spans="1:16" x14ac:dyDescent="0.25">
      <c r="A147" t="str">
        <f t="shared" si="51"/>
        <v>10</v>
      </c>
      <c r="B147" t="str">
        <f t="shared" si="57"/>
        <v>24</v>
      </c>
      <c r="C147" s="1">
        <v>45636</v>
      </c>
      <c r="D147" t="str">
        <f>CLEAN("1166-01-84")</f>
        <v>1166-01-84</v>
      </c>
      <c r="E147" t="str">
        <f t="shared" si="54"/>
        <v xml:space="preserve">303  </v>
      </c>
      <c r="F147" t="str">
        <f>CLEAN("$2,000,000 - $2,999,999  ")</f>
        <v xml:space="preserve">$2,000,000 - $2,999,999  </v>
      </c>
      <c r="G147" t="str">
        <f t="shared" si="55"/>
        <v>LET</v>
      </c>
      <c r="H147" t="str">
        <f t="shared" si="56"/>
        <v xml:space="preserve">LET CONSTRUCTION         </v>
      </c>
      <c r="I147" t="str">
        <f t="shared" si="61"/>
        <v xml:space="preserve">CONST/RESURFACE                    </v>
      </c>
      <c r="J147" t="str">
        <f t="shared" si="58"/>
        <v>IH  039</v>
      </c>
      <c r="K147" t="str">
        <f t="shared" si="59"/>
        <v xml:space="preserve">MARATHON                      </v>
      </c>
      <c r="L147" t="str">
        <f t="shared" si="60"/>
        <v xml:space="preserve">STEVENS POINT - WAUSAU             </v>
      </c>
      <c r="M147" t="str">
        <f>CLEAN("BUSINESS 51 TO FOXGLOVE ROAD       ")</f>
        <v xml:space="preserve">BUSINESS 51 TO FOXGLOVE ROAD       </v>
      </c>
      <c r="N147">
        <v>1.706</v>
      </c>
      <c r="O147" t="str">
        <f>CLEAN("1166-05-81")</f>
        <v>1166-05-81</v>
      </c>
      <c r="P14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48" spans="1:16" x14ac:dyDescent="0.25">
      <c r="A148" t="str">
        <f t="shared" si="51"/>
        <v>10</v>
      </c>
      <c r="B148" t="str">
        <f t="shared" si="57"/>
        <v>24</v>
      </c>
      <c r="C148" s="1">
        <v>45636</v>
      </c>
      <c r="D148" t="str">
        <f>CLEAN("1166-01-84")</f>
        <v>1166-01-84</v>
      </c>
      <c r="E148" t="str">
        <f t="shared" si="54"/>
        <v xml:space="preserve">303  </v>
      </c>
      <c r="F148" t="str">
        <f>CLEAN("$2,000,000 - $2,999,999  ")</f>
        <v xml:space="preserve">$2,000,000 - $2,999,999  </v>
      </c>
      <c r="G148" t="str">
        <f t="shared" si="55"/>
        <v>LET</v>
      </c>
      <c r="H148" t="str">
        <f t="shared" si="56"/>
        <v xml:space="preserve">LET CONSTRUCTION         </v>
      </c>
      <c r="I148" t="str">
        <f t="shared" si="61"/>
        <v xml:space="preserve">CONST/RESURFACE                    </v>
      </c>
      <c r="J148" t="str">
        <f t="shared" si="58"/>
        <v>IH  039</v>
      </c>
      <c r="K148" t="str">
        <f t="shared" si="59"/>
        <v xml:space="preserve">MARATHON                      </v>
      </c>
      <c r="L148" t="str">
        <f t="shared" si="60"/>
        <v xml:space="preserve">STEVENS POINT - WAUSAU             </v>
      </c>
      <c r="M148" t="str">
        <f>CLEAN("BUSINESS 51 TO FOXGLOVE ROAD       ")</f>
        <v xml:space="preserve">BUSINESS 51 TO FOXGLOVE ROAD       </v>
      </c>
      <c r="N148">
        <v>1.706</v>
      </c>
      <c r="O148" t="str">
        <f>CLEAN("1166-05-85")</f>
        <v>1166-05-85</v>
      </c>
      <c r="P14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49" spans="1:16" x14ac:dyDescent="0.25">
      <c r="A149" t="str">
        <f t="shared" si="51"/>
        <v>10</v>
      </c>
      <c r="B149" t="str">
        <f t="shared" si="57"/>
        <v>24</v>
      </c>
      <c r="C149" s="1">
        <v>45636</v>
      </c>
      <c r="D149" t="str">
        <f>CLEAN("1166-01-84")</f>
        <v>1166-01-84</v>
      </c>
      <c r="E149" t="str">
        <f t="shared" si="54"/>
        <v xml:space="preserve">303  </v>
      </c>
      <c r="F149" t="str">
        <f>CLEAN("$2,000,000 - $2,999,999  ")</f>
        <v xml:space="preserve">$2,000,000 - $2,999,999  </v>
      </c>
      <c r="G149" t="str">
        <f t="shared" si="55"/>
        <v>LET</v>
      </c>
      <c r="H149" t="str">
        <f t="shared" si="56"/>
        <v xml:space="preserve">LET CONSTRUCTION         </v>
      </c>
      <c r="I149" t="str">
        <f t="shared" si="61"/>
        <v xml:space="preserve">CONST/RESURFACE                    </v>
      </c>
      <c r="J149" t="str">
        <f t="shared" si="58"/>
        <v>IH  039</v>
      </c>
      <c r="K149" t="str">
        <f t="shared" si="59"/>
        <v xml:space="preserve">MARATHON                      </v>
      </c>
      <c r="L149" t="str">
        <f t="shared" si="60"/>
        <v xml:space="preserve">STEVENS POINT - WAUSAU             </v>
      </c>
      <c r="M149" t="str">
        <f>CLEAN("BUSINESS 51 TO FOXGLOVE ROAD       ")</f>
        <v xml:space="preserve">BUSINESS 51 TO FOXGLOVE ROAD       </v>
      </c>
      <c r="N149">
        <v>1.706</v>
      </c>
      <c r="O149" t="str">
        <f>CLEAN("1166-05-85")</f>
        <v>1166-05-85</v>
      </c>
      <c r="P14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50" spans="1:16" x14ac:dyDescent="0.25">
      <c r="A150" t="str">
        <f t="shared" si="51"/>
        <v>10</v>
      </c>
      <c r="B150" t="str">
        <f t="shared" si="57"/>
        <v>24</v>
      </c>
      <c r="C150" s="1">
        <v>45636</v>
      </c>
      <c r="D150" t="str">
        <f>CLEAN("1166-05-81")</f>
        <v>1166-05-81</v>
      </c>
      <c r="E150" t="str">
        <f t="shared" si="54"/>
        <v xml:space="preserve">303  </v>
      </c>
      <c r="F150" t="str">
        <f>CLEAN("$5,000,000 - $5,999,999  ")</f>
        <v xml:space="preserve">$5,000,000 - $5,999,999  </v>
      </c>
      <c r="G150" t="str">
        <f t="shared" si="55"/>
        <v>LET</v>
      </c>
      <c r="H150" t="str">
        <f t="shared" si="56"/>
        <v xml:space="preserve">LET CONSTRUCTION         </v>
      </c>
      <c r="I150" t="str">
        <f t="shared" si="61"/>
        <v xml:space="preserve">CONST/RESURFACE                    </v>
      </c>
      <c r="J150" t="str">
        <f t="shared" si="58"/>
        <v>IH  039</v>
      </c>
      <c r="K150" t="str">
        <f t="shared" si="59"/>
        <v xml:space="preserve">MARATHON                      </v>
      </c>
      <c r="L150" t="str">
        <f t="shared" si="60"/>
        <v xml:space="preserve">STEVENS POINT - WAUSAU             </v>
      </c>
      <c r="M150" t="str">
        <f>CLEAN("BULL JUNIOR CREEK TO BUSINESS 51   ")</f>
        <v xml:space="preserve">BULL JUNIOR CREEK TO BUSINESS 51   </v>
      </c>
      <c r="N150">
        <v>4.4729999999999999</v>
      </c>
      <c r="O150" t="str">
        <f>CLEAN("1166-01-84")</f>
        <v>1166-01-84</v>
      </c>
      <c r="P150" t="str">
        <f t="shared" ref="P150:P155" si="62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51" spans="1:16" x14ac:dyDescent="0.25">
      <c r="A151" t="str">
        <f t="shared" si="51"/>
        <v>10</v>
      </c>
      <c r="B151" t="str">
        <f t="shared" si="57"/>
        <v>24</v>
      </c>
      <c r="C151" s="1">
        <v>45636</v>
      </c>
      <c r="D151" t="str">
        <f>CLEAN("1166-05-81")</f>
        <v>1166-05-81</v>
      </c>
      <c r="E151" t="str">
        <f t="shared" si="54"/>
        <v xml:space="preserve">303  </v>
      </c>
      <c r="F151" t="str">
        <f>CLEAN("$5,000,000 - $5,999,999  ")</f>
        <v xml:space="preserve">$5,000,000 - $5,999,999  </v>
      </c>
      <c r="G151" t="str">
        <f t="shared" si="55"/>
        <v>LET</v>
      </c>
      <c r="H151" t="str">
        <f t="shared" si="56"/>
        <v xml:space="preserve">LET CONSTRUCTION         </v>
      </c>
      <c r="I151" t="str">
        <f t="shared" si="61"/>
        <v xml:space="preserve">CONST/RESURFACE                    </v>
      </c>
      <c r="J151" t="str">
        <f t="shared" si="58"/>
        <v>IH  039</v>
      </c>
      <c r="K151" t="str">
        <f t="shared" si="59"/>
        <v xml:space="preserve">MARATHON                      </v>
      </c>
      <c r="L151" t="str">
        <f t="shared" si="60"/>
        <v xml:space="preserve">STEVENS POINT - WAUSAU             </v>
      </c>
      <c r="M151" t="str">
        <f>CLEAN("BULL JUNIOR CREEK TO BUSINESS 51   ")</f>
        <v xml:space="preserve">BULL JUNIOR CREEK TO BUSINESS 51   </v>
      </c>
      <c r="N151">
        <v>4.4729999999999999</v>
      </c>
      <c r="O151" t="str">
        <f>CLEAN("1166-05-85")</f>
        <v>1166-05-85</v>
      </c>
      <c r="P151" t="str">
        <f t="shared" si="62"/>
        <v xml:space="preserve">BACKBONE                                                                                            </v>
      </c>
    </row>
    <row r="152" spans="1:16" x14ac:dyDescent="0.25">
      <c r="A152" t="str">
        <f t="shared" si="51"/>
        <v>10</v>
      </c>
      <c r="B152" t="str">
        <f t="shared" si="57"/>
        <v>24</v>
      </c>
      <c r="C152" s="1">
        <v>45636</v>
      </c>
      <c r="D152" t="str">
        <f>CLEAN("1166-05-85")</f>
        <v>1166-05-85</v>
      </c>
      <c r="E152" t="str">
        <f t="shared" si="54"/>
        <v xml:space="preserve">303  </v>
      </c>
      <c r="F152" t="str">
        <f>CLEAN("$3,000,000 - $3,999,999  ")</f>
        <v xml:space="preserve">$3,000,000 - $3,999,999  </v>
      </c>
      <c r="G152" t="str">
        <f t="shared" si="55"/>
        <v>LET</v>
      </c>
      <c r="H152" t="str">
        <f t="shared" si="56"/>
        <v xml:space="preserve">LET CONSTRUCTION         </v>
      </c>
      <c r="I152" t="str">
        <f t="shared" si="61"/>
        <v xml:space="preserve">CONST/RESURFACE                    </v>
      </c>
      <c r="J152" t="str">
        <f t="shared" si="58"/>
        <v>IH  039</v>
      </c>
      <c r="K152" t="str">
        <f t="shared" si="59"/>
        <v xml:space="preserve">MARATHON                      </v>
      </c>
      <c r="L152" t="str">
        <f t="shared" si="60"/>
        <v xml:space="preserve">STEVENS POINT - WAUSAU             </v>
      </c>
      <c r="M152" t="str">
        <f>CLEAN("STH 34 TO BULL JUNIOR CREEK, SB    ")</f>
        <v xml:space="preserve">STH 34 TO BULL JUNIOR CREEK, SB    </v>
      </c>
      <c r="N152">
        <v>5.62</v>
      </c>
      <c r="O152" t="str">
        <f>CLEAN("1166-01-84")</f>
        <v>1166-01-84</v>
      </c>
      <c r="P152" t="str">
        <f t="shared" si="62"/>
        <v xml:space="preserve">BACKBONE                                                                                            </v>
      </c>
    </row>
    <row r="153" spans="1:16" x14ac:dyDescent="0.25">
      <c r="A153" t="str">
        <f t="shared" si="51"/>
        <v>10</v>
      </c>
      <c r="B153" t="str">
        <f t="shared" si="57"/>
        <v>24</v>
      </c>
      <c r="C153" s="1">
        <v>45636</v>
      </c>
      <c r="D153" t="str">
        <f>CLEAN("1166-05-85")</f>
        <v>1166-05-85</v>
      </c>
      <c r="E153" t="str">
        <f t="shared" si="54"/>
        <v xml:space="preserve">303  </v>
      </c>
      <c r="F153" t="str">
        <f>CLEAN("$3,000,000 - $3,999,999  ")</f>
        <v xml:space="preserve">$3,000,000 - $3,999,999  </v>
      </c>
      <c r="G153" t="str">
        <f t="shared" si="55"/>
        <v>LET</v>
      </c>
      <c r="H153" t="str">
        <f t="shared" si="56"/>
        <v xml:space="preserve">LET CONSTRUCTION         </v>
      </c>
      <c r="I153" t="str">
        <f t="shared" si="61"/>
        <v xml:space="preserve">CONST/RESURFACE                    </v>
      </c>
      <c r="J153" t="str">
        <f t="shared" si="58"/>
        <v>IH  039</v>
      </c>
      <c r="K153" t="str">
        <f t="shared" si="59"/>
        <v xml:space="preserve">MARATHON                      </v>
      </c>
      <c r="L153" t="str">
        <f t="shared" si="60"/>
        <v xml:space="preserve">STEVENS POINT - WAUSAU             </v>
      </c>
      <c r="M153" t="str">
        <f>CLEAN("STH 34 TO BULL JUNIOR CREEK, SB    ")</f>
        <v xml:space="preserve">STH 34 TO BULL JUNIOR CREEK, SB    </v>
      </c>
      <c r="N153">
        <v>5.62</v>
      </c>
      <c r="O153" t="str">
        <f>CLEAN("1166-05-81")</f>
        <v>1166-05-81</v>
      </c>
      <c r="P153" t="str">
        <f t="shared" si="62"/>
        <v xml:space="preserve">BACKBONE                                                                                            </v>
      </c>
    </row>
    <row r="154" spans="1:16" x14ac:dyDescent="0.25">
      <c r="A154" t="str">
        <f t="shared" si="51"/>
        <v>10</v>
      </c>
      <c r="B154" t="str">
        <f t="shared" si="57"/>
        <v>24</v>
      </c>
      <c r="C154" s="1">
        <v>45636</v>
      </c>
      <c r="D154" t="str">
        <f>CLEAN("1166-12-78")</f>
        <v>1166-12-78</v>
      </c>
      <c r="E154" t="str">
        <f t="shared" si="54"/>
        <v xml:space="preserve">303  </v>
      </c>
      <c r="F154" t="str">
        <f>CLEAN("$8,000,000 - $8,999,999  ")</f>
        <v xml:space="preserve">$8,000,000 - $8,999,999  </v>
      </c>
      <c r="G154" t="str">
        <f t="shared" si="55"/>
        <v>LET</v>
      </c>
      <c r="H154" t="str">
        <f t="shared" si="56"/>
        <v xml:space="preserve">LET CONSTRUCTION         </v>
      </c>
      <c r="I154" t="str">
        <f>CLEAN("CONSTR/RESURFACE                   ")</f>
        <v xml:space="preserve">CONSTR/RESURFACE                   </v>
      </c>
      <c r="J154" t="str">
        <f t="shared" si="58"/>
        <v>IH  039</v>
      </c>
      <c r="K154" t="str">
        <f>CLEAN("PORTAGE                       ")</f>
        <v xml:space="preserve">PORTAGE                       </v>
      </c>
      <c r="L154" t="str">
        <f>CLEAN("PLAINFIELD - STEVENS POINT         ")</f>
        <v xml:space="preserve">PLAINFIELD - STEVENS POINT         </v>
      </c>
      <c r="M154" t="str">
        <f>CLEAN("STH 54 TO N 2ND STREET             ")</f>
        <v xml:space="preserve">STH 54 TO N 2ND STREET             </v>
      </c>
      <c r="N154">
        <v>10.596</v>
      </c>
      <c r="O154" t="str">
        <f>CLEAN("          ")</f>
        <v xml:space="preserve">          </v>
      </c>
      <c r="P154" t="str">
        <f t="shared" si="62"/>
        <v xml:space="preserve">BACKBONE                                                                                            </v>
      </c>
    </row>
    <row r="155" spans="1:16" x14ac:dyDescent="0.25">
      <c r="A155" t="str">
        <f t="shared" si="51"/>
        <v>10</v>
      </c>
      <c r="B155" t="str">
        <f t="shared" si="57"/>
        <v>24</v>
      </c>
      <c r="C155" s="1">
        <v>45545</v>
      </c>
      <c r="D155" t="str">
        <f>CLEAN("1170-01-76")</f>
        <v>1170-01-76</v>
      </c>
      <c r="E155" t="str">
        <f t="shared" si="54"/>
        <v xml:space="preserve">303  </v>
      </c>
      <c r="F155" t="str">
        <f>CLEAN("$6,000,000 - $6,999,999  ")</f>
        <v xml:space="preserve">$6,000,000 - $6,999,999  </v>
      </c>
      <c r="G155" t="str">
        <f t="shared" si="55"/>
        <v>LET</v>
      </c>
      <c r="H155" t="str">
        <f t="shared" si="56"/>
        <v xml:space="preserve">LET CONSTRUCTION         </v>
      </c>
      <c r="I155" t="str">
        <f>CLEAN("CONSTR/RESURFACE                   ")</f>
        <v xml:space="preserve">CONSTR/RESURFACE                   </v>
      </c>
      <c r="J155" t="str">
        <f t="shared" ref="J155:J165" si="63">CLEAN("USH 051")</f>
        <v>USH 051</v>
      </c>
      <c r="K155" t="str">
        <f>CLEAN("MARATHON                      ")</f>
        <v xml:space="preserve">MARATHON                      </v>
      </c>
      <c r="L155" t="str">
        <f>CLEAN("WAUSAU - MERRILL                   ")</f>
        <v xml:space="preserve">WAUSAU - MERRILL                   </v>
      </c>
      <c r="M155" t="str">
        <f>CLEAN("DECATOR DRIVE TO LINCOLN CO LINE   ")</f>
        <v xml:space="preserve">DECATOR DRIVE TO LINCOLN CO LINE   </v>
      </c>
      <c r="N155">
        <v>8.5960000000000001</v>
      </c>
      <c r="O155" t="str">
        <f>CLEAN("          ")</f>
        <v xml:space="preserve">          </v>
      </c>
      <c r="P155" t="str">
        <f t="shared" si="62"/>
        <v xml:space="preserve">BACKBONE                                                                                            </v>
      </c>
    </row>
    <row r="156" spans="1:16" x14ac:dyDescent="0.25">
      <c r="A156" t="str">
        <f t="shared" si="51"/>
        <v>10</v>
      </c>
      <c r="B156" t="str">
        <f t="shared" si="57"/>
        <v>24</v>
      </c>
      <c r="C156" s="1">
        <v>45437</v>
      </c>
      <c r="D156" t="str">
        <f>CLEAN("1170-19-24")</f>
        <v>1170-19-24</v>
      </c>
      <c r="E156" t="str">
        <f t="shared" si="54"/>
        <v xml:space="preserve">303  </v>
      </c>
      <c r="F156" t="str">
        <f>CLEAN("$250,000 - $499,999      ")</f>
        <v xml:space="preserve">$250,000 - $499,999      </v>
      </c>
      <c r="G156" t="str">
        <f>CLEAN("R/E")</f>
        <v>R/E</v>
      </c>
      <c r="H156" t="str">
        <f>CLEAN("NONLET CONSTR/REAL ESTATE")</f>
        <v>NONLET CONSTR/REAL ESTATE</v>
      </c>
      <c r="I156" t="str">
        <f>CLEAN("REAL ESTATE/PAVEMENT REPLACEMENT   ")</f>
        <v xml:space="preserve">REAL ESTATE/PAVEMENT REPLACEMENT   </v>
      </c>
      <c r="J156" t="str">
        <f t="shared" si="63"/>
        <v>USH 051</v>
      </c>
      <c r="K156" t="str">
        <f>CLEAN("ONEIDA                        ")</f>
        <v xml:space="preserve">ONEIDA                        </v>
      </c>
      <c r="L156" t="str">
        <f>CLEAN("TOMAHAWK - MINOCQUA                ")</f>
        <v xml:space="preserve">TOMAHAWK - MINOCQUA                </v>
      </c>
      <c r="M156" t="str">
        <f>CLEAN("ONEIDA STREET TO MANITOU PARK DRIVE")</f>
        <v>ONEIDA STREET TO MANITOU PARK DRIVE</v>
      </c>
      <c r="N156">
        <v>4.17</v>
      </c>
      <c r="O156" t="str">
        <f>CLEAN("          ")</f>
        <v xml:space="preserve">          </v>
      </c>
      <c r="P156" t="str">
        <f t="shared" ref="P156:P162" si="64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57" spans="1:16" x14ac:dyDescent="0.25">
      <c r="A157" t="str">
        <f t="shared" si="51"/>
        <v>10</v>
      </c>
      <c r="B157" t="str">
        <f t="shared" si="57"/>
        <v>24</v>
      </c>
      <c r="C157" s="1">
        <v>45517</v>
      </c>
      <c r="D157" t="str">
        <f>CLEAN("1174-10-74")</f>
        <v>1174-10-74</v>
      </c>
      <c r="E157" t="str">
        <f t="shared" si="54"/>
        <v xml:space="preserve">303  </v>
      </c>
      <c r="F157" t="str">
        <f>CLEAN("$1,000,000 - $1,999,999  ")</f>
        <v xml:space="preserve">$1,000,000 - $1,999,999  </v>
      </c>
      <c r="G157" t="str">
        <f>CLEAN("LET")</f>
        <v>LET</v>
      </c>
      <c r="H157" t="str">
        <f>CLEAN("LET CONSTRUCTION         ")</f>
        <v xml:space="preserve">LET CONSTRUCTION         </v>
      </c>
      <c r="I157" t="str">
        <f>CLEAN("CONST/RESURFACE                    ")</f>
        <v xml:space="preserve">CONST/RESURFACE                    </v>
      </c>
      <c r="J157" t="str">
        <f t="shared" si="63"/>
        <v>USH 051</v>
      </c>
      <c r="K157" t="str">
        <f>CLEAN("ONEIDA                        ")</f>
        <v xml:space="preserve">ONEIDA                        </v>
      </c>
      <c r="L157" t="str">
        <f>CLEAN("MINOCQUA - MANITOWISH              ")</f>
        <v xml:space="preserve">MINOCQUA - MANITOWISH              </v>
      </c>
      <c r="M157" t="str">
        <f>CLEAN("FRONT STREET - 3RD AVENUE          ")</f>
        <v xml:space="preserve">FRONT STREET - 3RD AVENUE          </v>
      </c>
      <c r="N157">
        <v>1.74</v>
      </c>
      <c r="O157" t="str">
        <f>CLEAN("          ")</f>
        <v xml:space="preserve">          </v>
      </c>
      <c r="P157" t="str">
        <f t="shared" si="64"/>
        <v xml:space="preserve">STATE 3R                                                                                            </v>
      </c>
    </row>
    <row r="158" spans="1:16" x14ac:dyDescent="0.25">
      <c r="A158" t="str">
        <f t="shared" si="51"/>
        <v>10</v>
      </c>
      <c r="B158" t="str">
        <f t="shared" si="57"/>
        <v>24</v>
      </c>
      <c r="C158" s="1">
        <v>45407</v>
      </c>
      <c r="D158" t="str">
        <f>CLEAN("1175-18-26")</f>
        <v>1175-18-26</v>
      </c>
      <c r="E158" t="str">
        <f t="shared" si="54"/>
        <v xml:space="preserve">303  </v>
      </c>
      <c r="F158" t="str">
        <f>CLEAN("$0 - $99,999             ")</f>
        <v xml:space="preserve">$0 - $99,999             </v>
      </c>
      <c r="G158" t="str">
        <f>CLEAN("R/E")</f>
        <v>R/E</v>
      </c>
      <c r="H158" t="str">
        <f>CLEAN("NONLET CONSTR/REAL ESTATE")</f>
        <v>NONLET CONSTR/REAL ESTATE</v>
      </c>
      <c r="I158" t="str">
        <f>CLEAN("REAL ESTATE/RESURFACE              ")</f>
        <v xml:space="preserve">REAL ESTATE/RESURFACE              </v>
      </c>
      <c r="J158" t="str">
        <f t="shared" si="63"/>
        <v>USH 051</v>
      </c>
      <c r="K158" t="str">
        <f>CLEAN("IRON                          ")</f>
        <v xml:space="preserve">IRON                          </v>
      </c>
      <c r="L158" t="str">
        <f t="shared" ref="L158:L165" si="65">CLEAN("MANITOWISH - HURLEY                ")</f>
        <v xml:space="preserve">MANITOWISH - HURLEY                </v>
      </c>
      <c r="M158" t="str">
        <f>CLEAN("BEACHWAY DRIVE TO LAKEVIEW ROAD    ")</f>
        <v xml:space="preserve">BEACHWAY DRIVE TO LAKEVIEW ROAD    </v>
      </c>
      <c r="N158">
        <v>1.1000000000000001</v>
      </c>
      <c r="O158" t="str">
        <f>CLEAN("          ")</f>
        <v xml:space="preserve">          </v>
      </c>
      <c r="P158" t="str">
        <f t="shared" si="64"/>
        <v xml:space="preserve">STATE 3R                                                                                            </v>
      </c>
    </row>
    <row r="159" spans="1:16" x14ac:dyDescent="0.25">
      <c r="A159" t="str">
        <f t="shared" si="51"/>
        <v>10</v>
      </c>
      <c r="B159" t="str">
        <f t="shared" si="57"/>
        <v>24</v>
      </c>
      <c r="C159" s="1">
        <v>45363</v>
      </c>
      <c r="D159" t="str">
        <f>CLEAN("1175-18-74")</f>
        <v>1175-18-74</v>
      </c>
      <c r="E159" t="str">
        <f t="shared" si="54"/>
        <v xml:space="preserve">303  </v>
      </c>
      <c r="F159" t="str">
        <f>CLEAN("$2,000,000 - $2,999,999  ")</f>
        <v xml:space="preserve">$2,000,000 - $2,999,999  </v>
      </c>
      <c r="G159" t="str">
        <f t="shared" ref="G159:G174" si="66">CLEAN("LET")</f>
        <v>LET</v>
      </c>
      <c r="H159" t="str">
        <f t="shared" ref="H159:H174" si="67">CLEAN("LET CONSTRUCTION         ")</f>
        <v xml:space="preserve">LET CONSTRUCTION         </v>
      </c>
      <c r="I159" t="str">
        <f>CLEAN("CONST/RESURFACE                    ")</f>
        <v xml:space="preserve">CONST/RESURFACE                    </v>
      </c>
      <c r="J159" t="str">
        <f t="shared" si="63"/>
        <v>USH 051</v>
      </c>
      <c r="K159" t="str">
        <f>CLEAN("IRON                          ")</f>
        <v xml:space="preserve">IRON                          </v>
      </c>
      <c r="L159" t="str">
        <f t="shared" si="65"/>
        <v xml:space="preserve">MANITOWISH - HURLEY                </v>
      </c>
      <c r="M159" t="str">
        <f>CLEAN("VILAS COUNTY LINE TO BEACHWAY DRIVE")</f>
        <v>VILAS COUNTY LINE TO BEACHWAY DRIVE</v>
      </c>
      <c r="N159">
        <v>6.89</v>
      </c>
      <c r="O159" t="str">
        <f>CLEAN("1175-18-75")</f>
        <v>1175-18-75</v>
      </c>
      <c r="P159" t="str">
        <f t="shared" si="64"/>
        <v xml:space="preserve">STATE 3R                                                                                            </v>
      </c>
    </row>
    <row r="160" spans="1:16" x14ac:dyDescent="0.25">
      <c r="A160" t="str">
        <f t="shared" si="51"/>
        <v>10</v>
      </c>
      <c r="B160" t="str">
        <f t="shared" si="57"/>
        <v>24</v>
      </c>
      <c r="C160" s="1">
        <v>45363</v>
      </c>
      <c r="D160" t="str">
        <f>CLEAN("1175-18-74")</f>
        <v>1175-18-74</v>
      </c>
      <c r="E160" t="str">
        <f t="shared" si="54"/>
        <v xml:space="preserve">303  </v>
      </c>
      <c r="F160" t="str">
        <f>CLEAN("$2,000,000 - $2,999,999  ")</f>
        <v xml:space="preserve">$2,000,000 - $2,999,999  </v>
      </c>
      <c r="G160" t="str">
        <f t="shared" si="66"/>
        <v>LET</v>
      </c>
      <c r="H160" t="str">
        <f t="shared" si="67"/>
        <v xml:space="preserve">LET CONSTRUCTION         </v>
      </c>
      <c r="I160" t="str">
        <f>CLEAN("CONST/RESURFACE                    ")</f>
        <v xml:space="preserve">CONST/RESURFACE                    </v>
      </c>
      <c r="J160" t="str">
        <f t="shared" si="63"/>
        <v>USH 051</v>
      </c>
      <c r="K160" t="str">
        <f>CLEAN("IRON                          ")</f>
        <v xml:space="preserve">IRON                          </v>
      </c>
      <c r="L160" t="str">
        <f t="shared" si="65"/>
        <v xml:space="preserve">MANITOWISH - HURLEY                </v>
      </c>
      <c r="M160" t="str">
        <f>CLEAN("VILAS COUNTY LINE TO BEACHWAY DRIVE")</f>
        <v>VILAS COUNTY LINE TO BEACHWAY DRIVE</v>
      </c>
      <c r="N160">
        <v>6.89</v>
      </c>
      <c r="O160" t="str">
        <f>CLEAN("1175-19-72")</f>
        <v>1175-19-72</v>
      </c>
      <c r="P160" t="str">
        <f t="shared" si="64"/>
        <v xml:space="preserve">STATE 3R                                                                                            </v>
      </c>
    </row>
    <row r="161" spans="1:16" x14ac:dyDescent="0.25">
      <c r="A161" t="str">
        <f t="shared" si="51"/>
        <v>10</v>
      </c>
      <c r="B161" t="str">
        <f t="shared" si="57"/>
        <v>24</v>
      </c>
      <c r="C161" s="1">
        <v>45363</v>
      </c>
      <c r="D161" t="str">
        <f>CLEAN("1175-18-75")</f>
        <v>1175-18-75</v>
      </c>
      <c r="E161" t="str">
        <f t="shared" si="54"/>
        <v xml:space="preserve">303  </v>
      </c>
      <c r="F161" t="str">
        <f>CLEAN("$500,000 - $749,999      ")</f>
        <v xml:space="preserve">$500,000 - $749,999      </v>
      </c>
      <c r="G161" t="str">
        <f t="shared" si="66"/>
        <v>LET</v>
      </c>
      <c r="H161" t="str">
        <f t="shared" si="67"/>
        <v xml:space="preserve">LET CONSTRUCTION         </v>
      </c>
      <c r="I161" t="str">
        <f>CLEAN("CONST/RESURFACE                    ")</f>
        <v xml:space="preserve">CONST/RESURFACE                    </v>
      </c>
      <c r="J161" t="str">
        <f t="shared" si="63"/>
        <v>USH 051</v>
      </c>
      <c r="K161" t="str">
        <f>CLEAN("VILAS                         ")</f>
        <v xml:space="preserve">VILAS                         </v>
      </c>
      <c r="L161" t="str">
        <f t="shared" si="65"/>
        <v xml:space="preserve">MANITOWISH - HURLEY                </v>
      </c>
      <c r="M161" t="str">
        <f>CLEAN("CTH W TO IRON COUNTY LINE          ")</f>
        <v xml:space="preserve">CTH W TO IRON COUNTY LINE          </v>
      </c>
      <c r="N161">
        <v>2.0499999999999998</v>
      </c>
      <c r="O161" t="str">
        <f>CLEAN("1175-18-74")</f>
        <v>1175-18-74</v>
      </c>
      <c r="P161" t="str">
        <f t="shared" si="64"/>
        <v xml:space="preserve">STATE 3R                                                                                            </v>
      </c>
    </row>
    <row r="162" spans="1:16" x14ac:dyDescent="0.25">
      <c r="A162" t="str">
        <f t="shared" si="51"/>
        <v>10</v>
      </c>
      <c r="B162" t="str">
        <f t="shared" si="57"/>
        <v>24</v>
      </c>
      <c r="C162" s="1">
        <v>45363</v>
      </c>
      <c r="D162" t="str">
        <f>CLEAN("1175-18-75")</f>
        <v>1175-18-75</v>
      </c>
      <c r="E162" t="str">
        <f t="shared" si="54"/>
        <v xml:space="preserve">303  </v>
      </c>
      <c r="F162" t="str">
        <f>CLEAN("$500,000 - $749,999      ")</f>
        <v xml:space="preserve">$500,000 - $749,999      </v>
      </c>
      <c r="G162" t="str">
        <f t="shared" si="66"/>
        <v>LET</v>
      </c>
      <c r="H162" t="str">
        <f t="shared" si="67"/>
        <v xml:space="preserve">LET CONSTRUCTION         </v>
      </c>
      <c r="I162" t="str">
        <f>CLEAN("CONST/RESURFACE                    ")</f>
        <v xml:space="preserve">CONST/RESURFACE                    </v>
      </c>
      <c r="J162" t="str">
        <f t="shared" si="63"/>
        <v>USH 051</v>
      </c>
      <c r="K162" t="str">
        <f>CLEAN("VILAS                         ")</f>
        <v xml:space="preserve">VILAS                         </v>
      </c>
      <c r="L162" t="str">
        <f t="shared" si="65"/>
        <v xml:space="preserve">MANITOWISH - HURLEY                </v>
      </c>
      <c r="M162" t="str">
        <f>CLEAN("CTH W TO IRON COUNTY LINE          ")</f>
        <v xml:space="preserve">CTH W TO IRON COUNTY LINE          </v>
      </c>
      <c r="N162">
        <v>2.0499999999999998</v>
      </c>
      <c r="O162" t="str">
        <f>CLEAN("1175-19-72")</f>
        <v>1175-19-72</v>
      </c>
      <c r="P162" t="str">
        <f t="shared" si="64"/>
        <v xml:space="preserve">STATE 3R                                                                                            </v>
      </c>
    </row>
    <row r="163" spans="1:16" x14ac:dyDescent="0.25">
      <c r="A163" t="str">
        <f t="shared" si="51"/>
        <v>10</v>
      </c>
      <c r="B163" t="str">
        <f t="shared" si="57"/>
        <v>24</v>
      </c>
      <c r="C163" s="1">
        <v>45636</v>
      </c>
      <c r="D163" t="str">
        <f>CLEAN("1175-19-71")</f>
        <v>1175-19-71</v>
      </c>
      <c r="E163" t="str">
        <f t="shared" si="54"/>
        <v xml:space="preserve">303  </v>
      </c>
      <c r="F163" t="str">
        <f>CLEAN("$500,000 - $749,999      ")</f>
        <v xml:space="preserve">$500,000 - $749,999      </v>
      </c>
      <c r="G163" t="str">
        <f t="shared" si="66"/>
        <v>LET</v>
      </c>
      <c r="H163" t="str">
        <f t="shared" si="67"/>
        <v xml:space="preserve">LET CONSTRUCTION         </v>
      </c>
      <c r="I163" t="str">
        <f>CLEAN("CONST/REHAB/DECK REPLACEMENT       ")</f>
        <v xml:space="preserve">CONST/REHAB/DECK REPLACEMENT       </v>
      </c>
      <c r="J163" t="str">
        <f t="shared" si="63"/>
        <v>USH 051</v>
      </c>
      <c r="K163" t="str">
        <f>CLEAN("IRON                          ")</f>
        <v xml:space="preserve">IRON                          </v>
      </c>
      <c r="L163" t="str">
        <f t="shared" si="65"/>
        <v xml:space="preserve">MANITOWISH - HURLEY                </v>
      </c>
      <c r="M163" t="str">
        <f>CLEAN("TURTLE RIVER BRIDGE B-26-0016      ")</f>
        <v xml:space="preserve">TURTLE RIVER BRIDGE B-26-0016      </v>
      </c>
      <c r="N163">
        <v>0</v>
      </c>
      <c r="O163" t="str">
        <f>CLEAN("          ")</f>
        <v xml:space="preserve">          </v>
      </c>
      <c r="P163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64" spans="1:16" x14ac:dyDescent="0.25">
      <c r="A164" t="str">
        <f t="shared" si="51"/>
        <v>10</v>
      </c>
      <c r="B164" t="str">
        <f t="shared" si="57"/>
        <v>24</v>
      </c>
      <c r="C164" s="1">
        <v>45363</v>
      </c>
      <c r="D164" t="str">
        <f>CLEAN("1175-19-72")</f>
        <v>1175-19-72</v>
      </c>
      <c r="E164" t="str">
        <f t="shared" si="54"/>
        <v xml:space="preserve">303  </v>
      </c>
      <c r="F164" t="str">
        <f>CLEAN("$1,000,000 - $1,999,999  ")</f>
        <v xml:space="preserve">$1,000,000 - $1,999,999  </v>
      </c>
      <c r="G164" t="str">
        <f t="shared" si="66"/>
        <v>LET</v>
      </c>
      <c r="H164" t="str">
        <f t="shared" si="67"/>
        <v xml:space="preserve">LET CONSTRUCTION         </v>
      </c>
      <c r="I164" t="str">
        <f>CLEAN("CONST/RESURFACE                    ")</f>
        <v xml:space="preserve">CONST/RESURFACE                    </v>
      </c>
      <c r="J164" t="str">
        <f t="shared" si="63"/>
        <v>USH 051</v>
      </c>
      <c r="K164" t="str">
        <f>CLEAN("IRON                          ")</f>
        <v xml:space="preserve">IRON                          </v>
      </c>
      <c r="L164" t="str">
        <f t="shared" si="65"/>
        <v xml:space="preserve">MANITOWISH - HURLEY                </v>
      </c>
      <c r="M164" t="str">
        <f>CLEAN("CTH J TO WEBER CREEK BRIDGE        ")</f>
        <v xml:space="preserve">CTH J TO WEBER CREEK BRIDGE        </v>
      </c>
      <c r="N164">
        <v>3.49</v>
      </c>
      <c r="O164" t="str">
        <f>CLEAN("1175-18-74")</f>
        <v>1175-18-74</v>
      </c>
      <c r="P16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65" spans="1:16" x14ac:dyDescent="0.25">
      <c r="A165" t="str">
        <f t="shared" si="51"/>
        <v>10</v>
      </c>
      <c r="B165" t="str">
        <f t="shared" si="57"/>
        <v>24</v>
      </c>
      <c r="C165" s="1">
        <v>45363</v>
      </c>
      <c r="D165" t="str">
        <f>CLEAN("1175-19-72")</f>
        <v>1175-19-72</v>
      </c>
      <c r="E165" t="str">
        <f t="shared" si="54"/>
        <v xml:space="preserve">303  </v>
      </c>
      <c r="F165" t="str">
        <f>CLEAN("$1,000,000 - $1,999,999  ")</f>
        <v xml:space="preserve">$1,000,000 - $1,999,999  </v>
      </c>
      <c r="G165" t="str">
        <f t="shared" si="66"/>
        <v>LET</v>
      </c>
      <c r="H165" t="str">
        <f t="shared" si="67"/>
        <v xml:space="preserve">LET CONSTRUCTION         </v>
      </c>
      <c r="I165" t="str">
        <f>CLEAN("CONST/RESURFACE                    ")</f>
        <v xml:space="preserve">CONST/RESURFACE                    </v>
      </c>
      <c r="J165" t="str">
        <f t="shared" si="63"/>
        <v>USH 051</v>
      </c>
      <c r="K165" t="str">
        <f>CLEAN("IRON                          ")</f>
        <v xml:space="preserve">IRON                          </v>
      </c>
      <c r="L165" t="str">
        <f t="shared" si="65"/>
        <v xml:space="preserve">MANITOWISH - HURLEY                </v>
      </c>
      <c r="M165" t="str">
        <f>CLEAN("CTH J TO WEBER CREEK BRIDGE        ")</f>
        <v xml:space="preserve">CTH J TO WEBER CREEK BRIDGE        </v>
      </c>
      <c r="N165">
        <v>3.49</v>
      </c>
      <c r="O165" t="str">
        <f>CLEAN("1175-18-75")</f>
        <v>1175-18-75</v>
      </c>
      <c r="P1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66" spans="1:16" x14ac:dyDescent="0.25">
      <c r="A166" t="str">
        <f t="shared" si="51"/>
        <v>10</v>
      </c>
      <c r="B166" t="str">
        <f>CLEAN("25")</f>
        <v>25</v>
      </c>
      <c r="C166" s="1">
        <v>45363</v>
      </c>
      <c r="D166" t="str">
        <f>CLEAN("1180-01-73")</f>
        <v>1180-01-73</v>
      </c>
      <c r="E166" t="str">
        <f t="shared" si="54"/>
        <v xml:space="preserve">303  </v>
      </c>
      <c r="F166" t="str">
        <f>CLEAN("$500,000 - $749,999      ")</f>
        <v xml:space="preserve">$500,000 - $749,999      </v>
      </c>
      <c r="G166" t="str">
        <f t="shared" si="66"/>
        <v>LET</v>
      </c>
      <c r="H166" t="str">
        <f t="shared" si="67"/>
        <v xml:space="preserve">LET CONSTRUCTION         </v>
      </c>
      <c r="I166" t="str">
        <f>CLEAN("CONSTRUCTION/BRRHB                 ")</f>
        <v xml:space="preserve">CONSTRUCTION/BRRHB                 </v>
      </c>
      <c r="J166" t="str">
        <f>CLEAN("USH 002")</f>
        <v>USH 002</v>
      </c>
      <c r="K166" t="str">
        <f>CLEAN("BAYFIELD                      ")</f>
        <v xml:space="preserve">BAYFIELD                      </v>
      </c>
      <c r="L166" t="str">
        <f>CLEAN("INO - ASHLAND                      ")</f>
        <v xml:space="preserve">INO - ASHLAND                      </v>
      </c>
      <c r="M166" t="str">
        <f>CLEAN("FISH CRK BR B-04-0057              ")</f>
        <v xml:space="preserve">FISH CRK BR B-04-0057              </v>
      </c>
      <c r="N166">
        <v>0</v>
      </c>
      <c r="O166" t="str">
        <f t="shared" ref="O166:O176" si="68">CLEAN("          ")</f>
        <v xml:space="preserve">          </v>
      </c>
      <c r="P16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67" spans="1:16" x14ac:dyDescent="0.25">
      <c r="A167" t="str">
        <f t="shared" si="51"/>
        <v>10</v>
      </c>
      <c r="B167" t="str">
        <f>CLEAN("24")</f>
        <v>24</v>
      </c>
      <c r="C167" s="1">
        <v>45517</v>
      </c>
      <c r="D167" t="str">
        <f>CLEAN("1185-02-71")</f>
        <v>1185-02-71</v>
      </c>
      <c r="E167" t="str">
        <f t="shared" si="54"/>
        <v xml:space="preserve">303  </v>
      </c>
      <c r="F167" t="str">
        <f>CLEAN("$3,000,000 - $3,999,999  ")</f>
        <v xml:space="preserve">$3,000,000 - $3,999,999  </v>
      </c>
      <c r="G167" t="str">
        <f t="shared" si="66"/>
        <v>LET</v>
      </c>
      <c r="H167" t="str">
        <f t="shared" si="67"/>
        <v xml:space="preserve">LET CONSTRUCTION         </v>
      </c>
      <c r="I167" t="str">
        <f>CLEAN("DESIGN/RESURFACE                   ")</f>
        <v xml:space="preserve">DESIGN/RESURFACE                   </v>
      </c>
      <c r="J167" t="str">
        <f>CLEAN("USH 002")</f>
        <v>USH 002</v>
      </c>
      <c r="K167" t="str">
        <f>CLEAN("IRON                          ")</f>
        <v xml:space="preserve">IRON                          </v>
      </c>
      <c r="L167" t="str">
        <f>CLEAN("ASHLAND - SAXON                    ")</f>
        <v xml:space="preserve">ASHLAND - SAXON                    </v>
      </c>
      <c r="M167" t="str">
        <f>CLEAN("ASHLAND COUNTY LINE TO CTH B       ")</f>
        <v xml:space="preserve">ASHLAND COUNTY LINE TO CTH B       </v>
      </c>
      <c r="N167">
        <v>8.48</v>
      </c>
      <c r="O167" t="str">
        <f t="shared" si="68"/>
        <v xml:space="preserve">          </v>
      </c>
      <c r="P16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68" spans="1:16" x14ac:dyDescent="0.25">
      <c r="A168" t="str">
        <f t="shared" si="51"/>
        <v>10</v>
      </c>
      <c r="B168" t="str">
        <f>CLEAN("24")</f>
        <v>24</v>
      </c>
      <c r="C168" s="1">
        <v>45636</v>
      </c>
      <c r="D168" t="str">
        <f>CLEAN("1185-03-60")</f>
        <v>1185-03-60</v>
      </c>
      <c r="E168" t="str">
        <f t="shared" si="54"/>
        <v xml:space="preserve">303  </v>
      </c>
      <c r="F168" t="str">
        <f>CLEAN("$500,000 - $749,999      ")</f>
        <v xml:space="preserve">$500,000 - $749,999      </v>
      </c>
      <c r="G168" t="str">
        <f t="shared" si="66"/>
        <v>LET</v>
      </c>
      <c r="H168" t="str">
        <f t="shared" si="67"/>
        <v xml:space="preserve">LET CONSTRUCTION         </v>
      </c>
      <c r="I168" t="str">
        <f>CLEAN("CONST/REHAB/CONCRETE OVERLAY       ")</f>
        <v xml:space="preserve">CONST/REHAB/CONCRETE OVERLAY       </v>
      </c>
      <c r="J168" t="str">
        <f>CLEAN("USH 002")</f>
        <v>USH 002</v>
      </c>
      <c r="K168" t="str">
        <f>CLEAN("IRON                          ")</f>
        <v xml:space="preserve">IRON                          </v>
      </c>
      <c r="L168" t="str">
        <f>CLEAN("CITY OF HURLEY                     ")</f>
        <v xml:space="preserve">CITY OF HURLEY                     </v>
      </c>
      <c r="M168" t="str">
        <f>CLEAN("WI/MI BORDER BRIDGES B-26-0007,0008")</f>
        <v>WI/MI BORDER BRIDGES B-26-0007,0008</v>
      </c>
      <c r="N168">
        <v>0</v>
      </c>
      <c r="O168" t="str">
        <f t="shared" si="68"/>
        <v xml:space="preserve">          </v>
      </c>
      <c r="P16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69" spans="1:16" x14ac:dyDescent="0.25">
      <c r="A169" t="str">
        <f t="shared" si="51"/>
        <v>10</v>
      </c>
      <c r="B169" t="str">
        <f t="shared" ref="B169:B181" si="69">CLEAN("25")</f>
        <v>25</v>
      </c>
      <c r="C169" s="1">
        <v>45391</v>
      </c>
      <c r="D169" t="str">
        <f>CLEAN("1190-01-85")</f>
        <v>1190-01-85</v>
      </c>
      <c r="E169" t="str">
        <f t="shared" si="54"/>
        <v xml:space="preserve">303  </v>
      </c>
      <c r="F169" t="str">
        <f>CLEAN("$250,000 - $499,999      ")</f>
        <v xml:space="preserve">$250,000 - $499,999      </v>
      </c>
      <c r="G169" t="str">
        <f t="shared" si="66"/>
        <v>LET</v>
      </c>
      <c r="H169" t="str">
        <f t="shared" si="67"/>
        <v xml:space="preserve">LET CONSTRUCTION         </v>
      </c>
      <c r="I169" t="str">
        <f>CLEAN("CONSTRUCTION/BRIDGE DECK SEALING   ")</f>
        <v xml:space="preserve">CONSTRUCTION/BRIDGE DECK SEALING   </v>
      </c>
      <c r="J169" t="str">
        <f t="shared" ref="J169:J179" si="70">CLEAN("USH 053")</f>
        <v>USH 053</v>
      </c>
      <c r="K169" t="str">
        <f>CLEAN("CHIPPEWA                      ")</f>
        <v xml:space="preserve">CHIPPEWA                      </v>
      </c>
      <c r="L169" t="str">
        <f>CLEAN("NW REGION, USH 53 BRDG DECK SEALING")</f>
        <v>NW REGION, USH 53 BRDG DECK SEALING</v>
      </c>
      <c r="M169" t="str">
        <f>CLEAN("BRIDGE DECK SEALING (VAR)          ")</f>
        <v xml:space="preserve">BRIDGE DECK SEALING (VAR)          </v>
      </c>
      <c r="N169">
        <v>0</v>
      </c>
      <c r="O169" t="str">
        <f t="shared" si="68"/>
        <v xml:space="preserve">          </v>
      </c>
      <c r="P16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0" spans="1:16" x14ac:dyDescent="0.25">
      <c r="A170" t="str">
        <f t="shared" si="51"/>
        <v>10</v>
      </c>
      <c r="B170" t="str">
        <f t="shared" si="69"/>
        <v>25</v>
      </c>
      <c r="C170" s="1">
        <v>45545</v>
      </c>
      <c r="D170" t="str">
        <f>CLEAN("1190-01-86")</f>
        <v>1190-01-86</v>
      </c>
      <c r="E170" t="str">
        <f t="shared" si="54"/>
        <v xml:space="preserve">303  </v>
      </c>
      <c r="F170" t="str">
        <f>CLEAN("$250,000 - $499,999      ")</f>
        <v xml:space="preserve">$250,000 - $499,999      </v>
      </c>
      <c r="G170" t="str">
        <f t="shared" si="66"/>
        <v>LET</v>
      </c>
      <c r="H170" t="str">
        <f t="shared" si="67"/>
        <v xml:space="preserve">LET CONSTRUCTION         </v>
      </c>
      <c r="I170" t="str">
        <f>CLEAN("CONSTRUCTION/SAFETY                ")</f>
        <v xml:space="preserve">CONSTRUCTION/SAFETY                </v>
      </c>
      <c r="J170" t="str">
        <f t="shared" si="70"/>
        <v>USH 053</v>
      </c>
      <c r="K170" t="str">
        <f>CLEAN("EAU CLAIRE                    ")</f>
        <v xml:space="preserve">EAU CLAIRE                    </v>
      </c>
      <c r="L170" t="str">
        <f>CLEAN("EAU CLAIRE - CHIPPEWA FALLS        ")</f>
        <v xml:space="preserve">EAU CLAIRE - CHIPPEWA FALLS        </v>
      </c>
      <c r="M170" t="str">
        <f>CLEAN("CTH QQ TO LA SALLE ST              ")</f>
        <v xml:space="preserve">CTH QQ TO LA SALLE ST              </v>
      </c>
      <c r="N170">
        <v>1.32</v>
      </c>
      <c r="O170" t="str">
        <f t="shared" si="68"/>
        <v xml:space="preserve">          </v>
      </c>
      <c r="P17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1" spans="1:16" x14ac:dyDescent="0.25">
      <c r="A171" t="str">
        <f t="shared" si="51"/>
        <v>10</v>
      </c>
      <c r="B171" t="str">
        <f t="shared" si="69"/>
        <v>25</v>
      </c>
      <c r="C171" s="1">
        <v>45545</v>
      </c>
      <c r="D171" t="str">
        <f>CLEAN("1190-01-86")</f>
        <v>1190-01-86</v>
      </c>
      <c r="E171" t="str">
        <f t="shared" si="54"/>
        <v xml:space="preserve">303  </v>
      </c>
      <c r="F171" t="str">
        <f>CLEAN("$250,000 - $499,999      ")</f>
        <v xml:space="preserve">$250,000 - $499,999      </v>
      </c>
      <c r="G171" t="str">
        <f t="shared" si="66"/>
        <v>LET</v>
      </c>
      <c r="H171" t="str">
        <f t="shared" si="67"/>
        <v xml:space="preserve">LET CONSTRUCTION         </v>
      </c>
      <c r="I171" t="str">
        <f>CLEAN("CONSTRUCTION/SAFETY                ")</f>
        <v xml:space="preserve">CONSTRUCTION/SAFETY                </v>
      </c>
      <c r="J171" t="str">
        <f t="shared" si="70"/>
        <v>USH 053</v>
      </c>
      <c r="K171" t="str">
        <f>CLEAN("EAU CLAIRE                    ")</f>
        <v xml:space="preserve">EAU CLAIRE                    </v>
      </c>
      <c r="L171" t="str">
        <f>CLEAN("EAU CLAIRE - CHIPPEWA FALLS        ")</f>
        <v xml:space="preserve">EAU CLAIRE - CHIPPEWA FALLS        </v>
      </c>
      <c r="M171" t="str">
        <f>CLEAN("CTH QQ TO LA SALLE ST              ")</f>
        <v xml:space="preserve">CTH QQ TO LA SALLE ST              </v>
      </c>
      <c r="N171">
        <v>1.32</v>
      </c>
      <c r="O171" t="str">
        <f t="shared" si="68"/>
        <v xml:space="preserve">          </v>
      </c>
      <c r="P17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72" spans="1:16" x14ac:dyDescent="0.25">
      <c r="A172" t="str">
        <f t="shared" si="51"/>
        <v>10</v>
      </c>
      <c r="B172" t="str">
        <f t="shared" si="69"/>
        <v>25</v>
      </c>
      <c r="C172" s="1">
        <v>45545</v>
      </c>
      <c r="D172" t="str">
        <f>CLEAN("1190-06-61")</f>
        <v>1190-06-61</v>
      </c>
      <c r="E172" t="str">
        <f t="shared" si="54"/>
        <v xml:space="preserve">303  </v>
      </c>
      <c r="F172" t="str">
        <f>CLEAN("$6,000,000 - $6,999,999  ")</f>
        <v xml:space="preserve">$6,000,000 - $6,999,999  </v>
      </c>
      <c r="G172" t="str">
        <f t="shared" si="66"/>
        <v>LET</v>
      </c>
      <c r="H172" t="str">
        <f t="shared" si="67"/>
        <v xml:space="preserve">LET CONSTRUCTION         </v>
      </c>
      <c r="I172" t="str">
        <f>CLEAN("CONSTRUCTION/PSRS20/CONCRETE REPAIR")</f>
        <v>CONSTRUCTION/PSRS20/CONCRETE REPAIR</v>
      </c>
      <c r="J172" t="str">
        <f t="shared" si="70"/>
        <v>USH 053</v>
      </c>
      <c r="K172" t="str">
        <f>CLEAN("EAU CLAIRE                    ")</f>
        <v xml:space="preserve">EAU CLAIRE                    </v>
      </c>
      <c r="L172" t="str">
        <f>CLEAN("EAU CLAIRE - CHIPPEWA FALLS        ")</f>
        <v xml:space="preserve">EAU CLAIRE - CHIPPEWA FALLS        </v>
      </c>
      <c r="M172" t="str">
        <f>CLEAN("GOLF ROAD TO 40TH AVENUE           ")</f>
        <v xml:space="preserve">GOLF ROAD TO 40TH AVENUE           </v>
      </c>
      <c r="N172">
        <v>8.9749999999999996</v>
      </c>
      <c r="O172" t="str">
        <f t="shared" si="68"/>
        <v xml:space="preserve">          </v>
      </c>
      <c r="P172" t="str">
        <f t="shared" ref="P172:P178" si="71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3" spans="1:16" x14ac:dyDescent="0.25">
      <c r="A173" t="str">
        <f t="shared" si="51"/>
        <v>10</v>
      </c>
      <c r="B173" t="str">
        <f t="shared" si="69"/>
        <v>25</v>
      </c>
      <c r="C173" s="1">
        <v>45272</v>
      </c>
      <c r="D173" t="str">
        <f>CLEAN("1190-08-79")</f>
        <v>1190-08-79</v>
      </c>
      <c r="E173" t="str">
        <f t="shared" si="54"/>
        <v xml:space="preserve">303  </v>
      </c>
      <c r="F173" t="str">
        <f>CLEAN("$35,000,000 - $39,999,999")</f>
        <v>$35,000,000 - $39,999,999</v>
      </c>
      <c r="G173" t="str">
        <f t="shared" si="66"/>
        <v>LET</v>
      </c>
      <c r="H173" t="str">
        <f t="shared" si="67"/>
        <v xml:space="preserve">LET CONSTRUCTION         </v>
      </c>
      <c r="I173" t="str">
        <f>CLEAN("CONSTRUCTION/PAVEMENT REPLACEMENT  ")</f>
        <v xml:space="preserve">CONSTRUCTION/PAVEMENT REPLACEMENT  </v>
      </c>
      <c r="J173" t="str">
        <f t="shared" si="70"/>
        <v>USH 053</v>
      </c>
      <c r="K173" t="str">
        <f>CLEAN("CHIPPEWA                      ")</f>
        <v xml:space="preserve">CHIPPEWA                      </v>
      </c>
      <c r="L173" t="str">
        <f>CLEAN("CHIPPEWA FALLS - NEW AUBURN        ")</f>
        <v xml:space="preserve">CHIPPEWA FALLS - NEW AUBURN        </v>
      </c>
      <c r="M173" t="str">
        <f>CLEAN("40TH AVENUE - CTH B (NB &amp; SB)      ")</f>
        <v xml:space="preserve">40TH AVENUE - CTH B (NB &amp; SB)      </v>
      </c>
      <c r="N173">
        <v>7.5949999999999998</v>
      </c>
      <c r="O173" t="str">
        <f t="shared" si="68"/>
        <v xml:space="preserve">          </v>
      </c>
      <c r="P173" t="str">
        <f t="shared" si="71"/>
        <v xml:space="preserve">BACKBONE                                                                                            </v>
      </c>
    </row>
    <row r="174" spans="1:16" x14ac:dyDescent="0.25">
      <c r="A174" t="str">
        <f t="shared" si="51"/>
        <v>10</v>
      </c>
      <c r="B174" t="str">
        <f t="shared" si="69"/>
        <v>25</v>
      </c>
      <c r="C174" s="1">
        <v>45426</v>
      </c>
      <c r="D174" t="str">
        <f>CLEAN("1196-04-77")</f>
        <v>1196-04-77</v>
      </c>
      <c r="E174" t="str">
        <f t="shared" si="54"/>
        <v xml:space="preserve">303  </v>
      </c>
      <c r="F174" t="str">
        <f>CLEAN("$7,000,000 - $7,999,999  ")</f>
        <v xml:space="preserve">$7,000,000 - $7,999,999  </v>
      </c>
      <c r="G174" t="str">
        <f t="shared" si="66"/>
        <v>LET</v>
      </c>
      <c r="H174" t="str">
        <f t="shared" si="67"/>
        <v xml:space="preserve">LET CONSTRUCTION         </v>
      </c>
      <c r="I174" t="str">
        <f>CLEAN("CONSTR/BRRHB                       ")</f>
        <v xml:space="preserve">CONSTR/BRRHB                       </v>
      </c>
      <c r="J174" t="str">
        <f t="shared" si="70"/>
        <v>USH 053</v>
      </c>
      <c r="K174" t="str">
        <f>CLEAN("BARRON                        ")</f>
        <v xml:space="preserve">BARRON                        </v>
      </c>
      <c r="L174" t="str">
        <f>CLEAN("NEW AUBURN - RICE LAKE             ")</f>
        <v xml:space="preserve">NEW AUBURN - RICE LAKE             </v>
      </c>
      <c r="M174" t="str">
        <f>CLEAN("B-03-14,16,18,20,24,26,30,37       ")</f>
        <v xml:space="preserve">B-03-14,16,18,20,24,26,30,37       </v>
      </c>
      <c r="N174">
        <v>0</v>
      </c>
      <c r="O174" t="str">
        <f t="shared" si="68"/>
        <v xml:space="preserve">          </v>
      </c>
      <c r="P174" t="str">
        <f t="shared" si="71"/>
        <v xml:space="preserve">BACKBONE                                                                                            </v>
      </c>
    </row>
    <row r="175" spans="1:16" x14ac:dyDescent="0.25">
      <c r="A175" t="str">
        <f t="shared" si="51"/>
        <v>10</v>
      </c>
      <c r="B175" t="str">
        <f t="shared" si="69"/>
        <v>25</v>
      </c>
      <c r="C175" s="1">
        <v>45376</v>
      </c>
      <c r="D175" t="str">
        <f>CLEAN("1196-04-97")</f>
        <v>1196-04-97</v>
      </c>
      <c r="E175" t="str">
        <f t="shared" si="54"/>
        <v xml:space="preserve">303  </v>
      </c>
      <c r="F175" t="str">
        <f>CLEAN("$0 - $99,999             ")</f>
        <v xml:space="preserve">$0 - $99,999             </v>
      </c>
      <c r="G175" t="str">
        <f>CLEAN("SFA")</f>
        <v>SFA</v>
      </c>
      <c r="H175" t="str">
        <f>CLEAN("NONLET CONSTR/REAL ESTATE")</f>
        <v>NONLET CONSTR/REAL ESTATE</v>
      </c>
      <c r="I175" t="str">
        <f>CLEAN("EX- TRF MIT CONSTR ID 1196-04-77   ")</f>
        <v xml:space="preserve">EX- TRF MIT CONSTR ID 1196-04-77   </v>
      </c>
      <c r="J175" t="str">
        <f t="shared" si="70"/>
        <v>USH 053</v>
      </c>
      <c r="K175" t="str">
        <f>CLEAN("BARRON                        ")</f>
        <v xml:space="preserve">BARRON                        </v>
      </c>
      <c r="L175" t="str">
        <f>CLEAN("CHIPPEWA COUNTY LINE TO USH 8 (SB) ")</f>
        <v xml:space="preserve">CHIPPEWA COUNTY LINE TO USH 8 (SB) </v>
      </c>
      <c r="M175" t="str">
        <f>CLEAN("NEW AUBURN - RICE LAKE             ")</f>
        <v xml:space="preserve">NEW AUBURN - RICE LAKE             </v>
      </c>
      <c r="N175">
        <v>0</v>
      </c>
      <c r="O175" t="str">
        <f t="shared" si="68"/>
        <v xml:space="preserve">          </v>
      </c>
      <c r="P175" t="str">
        <f t="shared" si="71"/>
        <v xml:space="preserve">BACKBONE                                                                                            </v>
      </c>
    </row>
    <row r="176" spans="1:16" x14ac:dyDescent="0.25">
      <c r="A176" t="str">
        <f t="shared" si="51"/>
        <v>10</v>
      </c>
      <c r="B176" t="str">
        <f t="shared" si="69"/>
        <v>25</v>
      </c>
      <c r="C176" s="1">
        <v>45498</v>
      </c>
      <c r="D176" t="str">
        <f>CLEAN("1198-03-53")</f>
        <v>1198-03-53</v>
      </c>
      <c r="E176" t="str">
        <f t="shared" si="54"/>
        <v xml:space="preserve">303  </v>
      </c>
      <c r="F176" t="str">
        <f>CLEAN("$250,000 - $499,999      ")</f>
        <v xml:space="preserve">$250,000 - $499,999      </v>
      </c>
      <c r="G176" t="str">
        <f>CLEAN("R/R")</f>
        <v>R/R</v>
      </c>
      <c r="H176" t="str">
        <f>CLEAN("NONLET CONSTR/REAL ESTATE")</f>
        <v>NONLET CONSTR/REAL ESTATE</v>
      </c>
      <c r="I176" t="str">
        <f>CLEAN("RR OPS/SIGNAL INSTALLATION         ")</f>
        <v xml:space="preserve">RR OPS/SIGNAL INSTALLATION         </v>
      </c>
      <c r="J176" t="str">
        <f t="shared" si="70"/>
        <v>USH 053</v>
      </c>
      <c r="K176" t="str">
        <f t="shared" ref="K176:K181" si="72">CLEAN("DOUGLAS                       ")</f>
        <v xml:space="preserve">DOUGLAS                       </v>
      </c>
      <c r="L176" t="str">
        <f>CLEAN("C SUPERIOR, E 2ND STREET           ")</f>
        <v xml:space="preserve">C SUPERIOR, E 2ND STREET           </v>
      </c>
      <c r="M176" t="str">
        <f>CLEAN("UNION PACIFIC RR XING 186159J      ")</f>
        <v xml:space="preserve">UNION PACIFIC RR XING 186159J      </v>
      </c>
      <c r="N176">
        <v>0</v>
      </c>
      <c r="O176" t="str">
        <f t="shared" si="68"/>
        <v xml:space="preserve">          </v>
      </c>
      <c r="P176" t="str">
        <f t="shared" si="71"/>
        <v xml:space="preserve">BACKBONE                                                                                            </v>
      </c>
    </row>
    <row r="177" spans="1:16" x14ac:dyDescent="0.25">
      <c r="A177" t="str">
        <f t="shared" si="51"/>
        <v>10</v>
      </c>
      <c r="B177" t="str">
        <f t="shared" si="69"/>
        <v>25</v>
      </c>
      <c r="C177" s="1">
        <v>45608</v>
      </c>
      <c r="D177" t="str">
        <f>CLEAN("1198-03-73")</f>
        <v>1198-03-73</v>
      </c>
      <c r="E177" t="str">
        <f t="shared" si="54"/>
        <v xml:space="preserve">303  </v>
      </c>
      <c r="F177" t="str">
        <f>CLEAN("$3,000,000 - $3,999,999  ")</f>
        <v xml:space="preserve">$3,000,000 - $3,999,999  </v>
      </c>
      <c r="G177" t="str">
        <f>CLEAN("LET")</f>
        <v>LET</v>
      </c>
      <c r="H177" t="str">
        <f>CLEAN("LET CONSTRUCTION         ")</f>
        <v xml:space="preserve">LET CONSTRUCTION         </v>
      </c>
      <c r="I177" t="str">
        <f>CLEAN("CONSTRUCTION/RESURFACE             ")</f>
        <v xml:space="preserve">CONSTRUCTION/RESURFACE             </v>
      </c>
      <c r="J177" t="str">
        <f t="shared" si="70"/>
        <v>USH 053</v>
      </c>
      <c r="K177" t="str">
        <f t="shared" si="72"/>
        <v xml:space="preserve">DOUGLAS                       </v>
      </c>
      <c r="L177" t="str">
        <f>CLEAN("C SUPERIOR, EAST SECOND STREET     ")</f>
        <v xml:space="preserve">C SUPERIOR, EAST SECOND STREET     </v>
      </c>
      <c r="M177" t="str">
        <f>CLEAN("2ND AVENUE EAST TO HUGHITT AVENUE  ")</f>
        <v xml:space="preserve">2ND AVENUE EAST TO HUGHITT AVENUE  </v>
      </c>
      <c r="N177">
        <v>1.552</v>
      </c>
      <c r="O177" t="str">
        <f>CLEAN("1198-03-80")</f>
        <v>1198-03-80</v>
      </c>
      <c r="P177" t="str">
        <f t="shared" si="71"/>
        <v xml:space="preserve">BACKBONE                                                                                            </v>
      </c>
    </row>
    <row r="178" spans="1:16" x14ac:dyDescent="0.25">
      <c r="A178" t="str">
        <f t="shared" si="51"/>
        <v>10</v>
      </c>
      <c r="B178" t="str">
        <f t="shared" si="69"/>
        <v>25</v>
      </c>
      <c r="C178" s="1">
        <v>45608</v>
      </c>
      <c r="D178" t="str">
        <f>CLEAN("1198-03-80")</f>
        <v>1198-03-80</v>
      </c>
      <c r="E178" t="str">
        <f t="shared" si="54"/>
        <v xml:space="preserve">303  </v>
      </c>
      <c r="F178" t="str">
        <f>CLEAN("$1,000,000 - $1,999,999  ")</f>
        <v xml:space="preserve">$1,000,000 - $1,999,999  </v>
      </c>
      <c r="G178" t="str">
        <f>CLEAN("LET")</f>
        <v>LET</v>
      </c>
      <c r="H178" t="str">
        <f>CLEAN("LET CONSTRUCTION         ")</f>
        <v xml:space="preserve">LET CONSTRUCTION         </v>
      </c>
      <c r="I178" t="str">
        <f>CLEAN("CONSTRUCTION/SAFETY IMPROVEMENT    ")</f>
        <v xml:space="preserve">CONSTRUCTION/SAFETY IMPROVEMENT    </v>
      </c>
      <c r="J178" t="str">
        <f t="shared" si="70"/>
        <v>USH 053</v>
      </c>
      <c r="K178" t="str">
        <f t="shared" si="72"/>
        <v xml:space="preserve">DOUGLAS                       </v>
      </c>
      <c r="L178" t="str">
        <f>CLEAN("C SUPERIOR, EAST SECOND STREET     ")</f>
        <v xml:space="preserve">C SUPERIOR, EAST SECOND STREET     </v>
      </c>
      <c r="M178" t="str">
        <f>CLEAN("E STREET INTERSECTION              ")</f>
        <v xml:space="preserve">E STREET INTERSECTION              </v>
      </c>
      <c r="N178">
        <v>8.0000000000000002E-3</v>
      </c>
      <c r="O178" t="str">
        <f>CLEAN("1198-03-73")</f>
        <v>1198-03-73</v>
      </c>
      <c r="P178" t="str">
        <f t="shared" si="71"/>
        <v xml:space="preserve">BACKBONE                                                                                            </v>
      </c>
    </row>
    <row r="179" spans="1:16" x14ac:dyDescent="0.25">
      <c r="A179" t="str">
        <f t="shared" si="51"/>
        <v>10</v>
      </c>
      <c r="B179" t="str">
        <f t="shared" si="69"/>
        <v>25</v>
      </c>
      <c r="C179" s="1">
        <v>45608</v>
      </c>
      <c r="D179" t="str">
        <f>CLEAN("1198-03-80")</f>
        <v>1198-03-80</v>
      </c>
      <c r="E179" t="str">
        <f t="shared" si="54"/>
        <v xml:space="preserve">303  </v>
      </c>
      <c r="F179" t="str">
        <f>CLEAN("$1,000,000 - $1,999,999  ")</f>
        <v xml:space="preserve">$1,000,000 - $1,999,999  </v>
      </c>
      <c r="G179" t="str">
        <f>CLEAN("LET")</f>
        <v>LET</v>
      </c>
      <c r="H179" t="str">
        <f>CLEAN("LET CONSTRUCTION         ")</f>
        <v xml:space="preserve">LET CONSTRUCTION         </v>
      </c>
      <c r="I179" t="str">
        <f>CLEAN("CONSTRUCTION/SAFETY IMPROVEMENT    ")</f>
        <v xml:space="preserve">CONSTRUCTION/SAFETY IMPROVEMENT    </v>
      </c>
      <c r="J179" t="str">
        <f t="shared" si="70"/>
        <v>USH 053</v>
      </c>
      <c r="K179" t="str">
        <f t="shared" si="72"/>
        <v xml:space="preserve">DOUGLAS                       </v>
      </c>
      <c r="L179" t="str">
        <f>CLEAN("C SUPERIOR, EAST SECOND STREET     ")</f>
        <v xml:space="preserve">C SUPERIOR, EAST SECOND STREET     </v>
      </c>
      <c r="M179" t="str">
        <f>CLEAN("E STREET INTERSECTION              ")</f>
        <v xml:space="preserve">E STREET INTERSECTION              </v>
      </c>
      <c r="N179">
        <v>8.0000000000000002E-3</v>
      </c>
      <c r="O179" t="str">
        <f>CLEAN("1198-03-73")</f>
        <v>1198-03-73</v>
      </c>
      <c r="P17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80" spans="1:16" x14ac:dyDescent="0.25">
      <c r="A180" t="str">
        <f t="shared" si="51"/>
        <v>10</v>
      </c>
      <c r="B180" t="str">
        <f t="shared" si="69"/>
        <v>25</v>
      </c>
      <c r="C180" s="1">
        <v>45468</v>
      </c>
      <c r="D180" t="str">
        <f>CLEAN("1199-00-10")</f>
        <v>1199-00-10</v>
      </c>
      <c r="E180" t="str">
        <f>CLEAN("304  ")</f>
        <v xml:space="preserve">304  </v>
      </c>
      <c r="F180" t="str">
        <f>CLEAN("$250,000 - $499,999      ")</f>
        <v xml:space="preserve">$250,000 - $499,999      </v>
      </c>
      <c r="G180" t="str">
        <f>CLEAN("OST")</f>
        <v>OST</v>
      </c>
      <c r="H180" t="str">
        <f>CLEAN("NONLET CONSTR/REAL ESTATE")</f>
        <v>NONLET CONSTR/REAL ESTATE</v>
      </c>
      <c r="I180" t="str">
        <f>CLEAN("FINAL DESIGN/REIMBURSEMENT TO MN   ")</f>
        <v xml:space="preserve">FINAL DESIGN/REIMBURSEMENT TO MN   </v>
      </c>
      <c r="J180" t="str">
        <f>CLEAN("IH  535")</f>
        <v>IH  535</v>
      </c>
      <c r="K180" t="str">
        <f t="shared" si="72"/>
        <v xml:space="preserve">DOUGLAS                       </v>
      </c>
      <c r="L180" t="str">
        <f>CLEAN("SUPERIOR - DULUTH                  ")</f>
        <v xml:space="preserve">SUPERIOR - DULUTH                  </v>
      </c>
      <c r="M180" t="str">
        <f>CLEAN("STLOUIS RV BR B16-0005-0001 TO 0005")</f>
        <v>STLOUIS RV BR B16-0005-0001 TO 0005</v>
      </c>
      <c r="N180">
        <v>0</v>
      </c>
      <c r="O180" t="str">
        <f t="shared" ref="O180:O200" si="73">CLEAN("          ")</f>
        <v xml:space="preserve">          </v>
      </c>
      <c r="P180" t="str">
        <f>CLEAN("MAJOR INTERSTATE BRIDGE CONSTRUCTION                                                                ")</f>
        <v xml:space="preserve">MAJOR INTERSTATE BRIDGE CONSTRUCTION                                                                </v>
      </c>
    </row>
    <row r="181" spans="1:16" x14ac:dyDescent="0.25">
      <c r="A181" t="str">
        <f t="shared" si="51"/>
        <v>10</v>
      </c>
      <c r="B181" t="str">
        <f t="shared" si="69"/>
        <v>25</v>
      </c>
      <c r="C181" s="1">
        <v>45468</v>
      </c>
      <c r="D181" t="str">
        <f>CLEAN("1199-00-20")</f>
        <v>1199-00-20</v>
      </c>
      <c r="E181" t="str">
        <f>CLEAN("304  ")</f>
        <v xml:space="preserve">304  </v>
      </c>
      <c r="F181" t="str">
        <f>CLEAN("$0 - $99,999             ")</f>
        <v xml:space="preserve">$0 - $99,999             </v>
      </c>
      <c r="G181" t="str">
        <f>CLEAN("R/E")</f>
        <v>R/E</v>
      </c>
      <c r="H181" t="str">
        <f>CLEAN("NONLET CONSTR/REAL ESTATE")</f>
        <v>NONLET CONSTR/REAL ESTATE</v>
      </c>
      <c r="I181" t="str">
        <f>CLEAN("REAL ESTATE ACQUISITION            ")</f>
        <v xml:space="preserve">REAL ESTATE ACQUISITION            </v>
      </c>
      <c r="J181" t="str">
        <f>CLEAN("IH  535")</f>
        <v>IH  535</v>
      </c>
      <c r="K181" t="str">
        <f t="shared" si="72"/>
        <v xml:space="preserve">DOUGLAS                       </v>
      </c>
      <c r="L181" t="str">
        <f>CLEAN("SUPERIOR - DULUTH                  ")</f>
        <v xml:space="preserve">SUPERIOR - DULUTH                  </v>
      </c>
      <c r="M181" t="str">
        <f>CLEAN("STLOUIS RV BR B16-0005-0001 TO 0005")</f>
        <v>STLOUIS RV BR B16-0005-0001 TO 0005</v>
      </c>
      <c r="N181">
        <v>0</v>
      </c>
      <c r="O181" t="str">
        <f t="shared" si="73"/>
        <v xml:space="preserve">          </v>
      </c>
      <c r="P181" t="str">
        <f>CLEAN("MAJOR INTERSTATE BRIDGE CONSTRUCTION                                                                ")</f>
        <v xml:space="preserve">MAJOR INTERSTATE BRIDGE CONSTRUCTION                                                                </v>
      </c>
    </row>
    <row r="182" spans="1:16" x14ac:dyDescent="0.25">
      <c r="A182" t="str">
        <f t="shared" si="51"/>
        <v>10</v>
      </c>
      <c r="B182" t="str">
        <f>CLEAN("21")</f>
        <v>21</v>
      </c>
      <c r="C182" s="1">
        <v>45529</v>
      </c>
      <c r="D182" t="str">
        <f>CLEAN("1204-00-26")</f>
        <v>1204-00-26</v>
      </c>
      <c r="E182" t="str">
        <f t="shared" ref="E182:E189" si="74">CLEAN("303  ")</f>
        <v xml:space="preserve">303  </v>
      </c>
      <c r="F182" t="str">
        <f>CLEAN("$0 - $99,999             ")</f>
        <v xml:space="preserve">$0 - $99,999             </v>
      </c>
      <c r="G182" t="str">
        <f>CLEAN("R/E")</f>
        <v>R/E</v>
      </c>
      <c r="H182" t="str">
        <f>CLEAN("NONLET CONSTR/REAL ESTATE")</f>
        <v>NONLET CONSTR/REAL ESTATE</v>
      </c>
      <c r="I182" t="str">
        <f>CLEAN("RE OPS/ 1204-00-76 / MISC          ")</f>
        <v xml:space="preserve">RE OPS/ 1204-00-76 / MISC          </v>
      </c>
      <c r="J182" t="str">
        <f>CLEAN("USH 018")</f>
        <v>USH 018</v>
      </c>
      <c r="K182" t="str">
        <f>CLEAN("IOWA                          ")</f>
        <v xml:space="preserve">IOWA                          </v>
      </c>
      <c r="L182" t="str">
        <f>CLEAN("DODGEVILLE - MOUNT HOREB           ")</f>
        <v xml:space="preserve">DODGEVILLE - MOUNT HOREB           </v>
      </c>
      <c r="M182" t="str">
        <f>CLEAN("CTH YZ INTERSECTION                ")</f>
        <v xml:space="preserve">CTH YZ INTERSECTION                </v>
      </c>
      <c r="N182">
        <v>0.47599999999999998</v>
      </c>
      <c r="O182" t="str">
        <f t="shared" si="73"/>
        <v xml:space="preserve">          </v>
      </c>
      <c r="P18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3" spans="1:16" x14ac:dyDescent="0.25">
      <c r="A183" t="str">
        <f t="shared" si="51"/>
        <v>10</v>
      </c>
      <c r="B183" t="str">
        <f>CLEAN("21")</f>
        <v>21</v>
      </c>
      <c r="C183" s="1">
        <v>45316</v>
      </c>
      <c r="D183" t="str">
        <f>CLEAN("1204-05-27")</f>
        <v>1204-05-27</v>
      </c>
      <c r="E183" t="str">
        <f t="shared" si="74"/>
        <v xml:space="preserve">303  </v>
      </c>
      <c r="F183" t="str">
        <f>CLEAN("$0 - $99,999             ")</f>
        <v xml:space="preserve">$0 - $99,999             </v>
      </c>
      <c r="G183" t="str">
        <f>CLEAN("R/E")</f>
        <v>R/E</v>
      </c>
      <c r="H183" t="str">
        <f>CLEAN("NONLET CONSTR/REAL ESTATE")</f>
        <v>NONLET CONSTR/REAL ESTATE</v>
      </c>
      <c r="I183" t="str">
        <f>CLEAN("RE OPS/ 1204-05-77 /MISC           ")</f>
        <v xml:space="preserve">RE OPS/ 1204-05-77 /MISC           </v>
      </c>
      <c r="J183" t="str">
        <f>CLEAN("USH 018")</f>
        <v>USH 018</v>
      </c>
      <c r="K183" t="str">
        <f>CLEAN("DANE                          ")</f>
        <v xml:space="preserve">DANE                          </v>
      </c>
      <c r="L183" t="str">
        <f>CLEAN("DODGEVILLE - MOUNT HOREB           ")</f>
        <v xml:space="preserve">DODGEVILLE - MOUNT HOREB           </v>
      </c>
      <c r="M183" t="str">
        <f>CLEAN("CTH F INTERSECTION                 ")</f>
        <v xml:space="preserve">CTH F INTERSECTION                 </v>
      </c>
      <c r="N183">
        <v>0.30399999999999999</v>
      </c>
      <c r="O183" t="str">
        <f t="shared" si="73"/>
        <v xml:space="preserve">          </v>
      </c>
      <c r="P18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4" spans="1:16" x14ac:dyDescent="0.25">
      <c r="A184" t="str">
        <f t="shared" ref="A184:A247" si="75">CLEAN("10")</f>
        <v>10</v>
      </c>
      <c r="B184" t="str">
        <f>CLEAN("23")</f>
        <v>23</v>
      </c>
      <c r="C184" s="1">
        <v>45636</v>
      </c>
      <c r="D184" t="str">
        <f>CLEAN("1222-13-71")</f>
        <v>1222-13-71</v>
      </c>
      <c r="E184" t="str">
        <f t="shared" si="74"/>
        <v xml:space="preserve">303  </v>
      </c>
      <c r="F184" t="str">
        <f>CLEAN("$20,000,000 - $24,999,999")</f>
        <v>$20,000,000 - $24,999,999</v>
      </c>
      <c r="G184" t="str">
        <f>CLEAN("LET")</f>
        <v>LET</v>
      </c>
      <c r="H184" t="str">
        <f>CLEAN("LET CONSTRUCTION         ")</f>
        <v xml:space="preserve">LET CONSTRUCTION         </v>
      </c>
      <c r="I184" t="str">
        <f>CLEAN("CONSTR OPS/RSRF                    ")</f>
        <v xml:space="preserve">CONSTR OPS/RSRF                    </v>
      </c>
      <c r="J184" t="str">
        <f t="shared" ref="J184:J189" si="76">CLEAN("IH  043")</f>
        <v>IH  043</v>
      </c>
      <c r="K184" t="str">
        <f>CLEAN("SHEBOYGAN                     ")</f>
        <v xml:space="preserve">SHEBOYGAN                     </v>
      </c>
      <c r="L184" t="str">
        <f>CLEAN("PORT WASHINGTON-SHEBOYGAN          ")</f>
        <v xml:space="preserve">PORT WASHINGTON-SHEBOYGAN          </v>
      </c>
      <c r="M184" t="str">
        <f>CLEAN("WILSON/LIMA ROAD - STH 42          ")</f>
        <v xml:space="preserve">WILSON/LIMA ROAD - STH 42          </v>
      </c>
      <c r="N184">
        <v>10.396000000000001</v>
      </c>
      <c r="O184" t="str">
        <f t="shared" si="73"/>
        <v xml:space="preserve">          </v>
      </c>
      <c r="P18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5" spans="1:16" x14ac:dyDescent="0.25">
      <c r="A185" t="str">
        <f t="shared" si="75"/>
        <v>10</v>
      </c>
      <c r="B185" t="str">
        <f>CLEAN("23")</f>
        <v>23</v>
      </c>
      <c r="C185" s="1">
        <v>45636</v>
      </c>
      <c r="D185" t="str">
        <f>CLEAN("1222-13-71")</f>
        <v>1222-13-71</v>
      </c>
      <c r="E185" t="str">
        <f t="shared" si="74"/>
        <v xml:space="preserve">303  </v>
      </c>
      <c r="F185" t="str">
        <f>CLEAN("$20,000,000 - $24,999,999")</f>
        <v>$20,000,000 - $24,999,999</v>
      </c>
      <c r="G185" t="str">
        <f>CLEAN("LET")</f>
        <v>LET</v>
      </c>
      <c r="H185" t="str">
        <f>CLEAN("LET CONSTRUCTION         ")</f>
        <v xml:space="preserve">LET CONSTRUCTION         </v>
      </c>
      <c r="I185" t="str">
        <f>CLEAN("CONSTR OPS/RSRF                    ")</f>
        <v xml:space="preserve">CONSTR OPS/RSRF                    </v>
      </c>
      <c r="J185" t="str">
        <f t="shared" si="76"/>
        <v>IH  043</v>
      </c>
      <c r="K185" t="str">
        <f>CLEAN("SHEBOYGAN                     ")</f>
        <v xml:space="preserve">SHEBOYGAN                     </v>
      </c>
      <c r="L185" t="str">
        <f>CLEAN("PORT WASHINGTON-SHEBOYGAN          ")</f>
        <v xml:space="preserve">PORT WASHINGTON-SHEBOYGAN          </v>
      </c>
      <c r="M185" t="str">
        <f>CLEAN("WILSON/LIMA ROAD - STH 42          ")</f>
        <v xml:space="preserve">WILSON/LIMA ROAD - STH 42          </v>
      </c>
      <c r="N185">
        <v>10.396000000000001</v>
      </c>
      <c r="O185" t="str">
        <f t="shared" si="73"/>
        <v xml:space="preserve">          </v>
      </c>
      <c r="P18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86" spans="1:16" x14ac:dyDescent="0.25">
      <c r="A186" t="str">
        <f t="shared" si="75"/>
        <v>10</v>
      </c>
      <c r="B186" t="str">
        <f t="shared" ref="B186:B200" si="77">CLEAN("22")</f>
        <v>22</v>
      </c>
      <c r="C186" s="1">
        <v>45468</v>
      </c>
      <c r="D186" t="str">
        <f>CLEAN("1228-22-84")</f>
        <v>1228-22-84</v>
      </c>
      <c r="E186" t="str">
        <f t="shared" si="74"/>
        <v xml:space="preserve">303  </v>
      </c>
      <c r="F186" t="str">
        <f>CLEAN("$0 - $99,999             ")</f>
        <v xml:space="preserve">$0 - $99,999             </v>
      </c>
      <c r="G186" t="str">
        <f>CLEAN("MIS")</f>
        <v>MIS</v>
      </c>
      <c r="H186" t="str">
        <f t="shared" ref="H186:H195" si="78">CLEAN("NONLET CONSTR/REAL ESTATE")</f>
        <v>NONLET CONSTR/REAL ESTATE</v>
      </c>
      <c r="I186" t="str">
        <f>CLEAN("TRAFFIC MIT-GLENDALE PD 1228-22-71 ")</f>
        <v xml:space="preserve">TRAFFIC MIT-GLENDALE PD 1228-22-71 </v>
      </c>
      <c r="J186" t="str">
        <f t="shared" si="76"/>
        <v>IH  043</v>
      </c>
      <c r="K186" t="str">
        <f>CLEAN("MILWAUKEE                     ")</f>
        <v xml:space="preserve">MILWAUKEE                     </v>
      </c>
      <c r="L186" t="str">
        <f>CLEAN("IH 43 NORTH SOUTH FREEWAY          ")</f>
        <v xml:space="preserve">IH 43 NORTH SOUTH FREEWAY          </v>
      </c>
      <c r="M186" t="str">
        <f>CLEAN("CAPITOL DR-2100 FT N OF HAMPTON AVE")</f>
        <v>CAPITOL DR-2100 FT N OF HAMPTON AVE</v>
      </c>
      <c r="N186">
        <v>1.08</v>
      </c>
      <c r="O186" t="str">
        <f t="shared" si="73"/>
        <v xml:space="preserve">          </v>
      </c>
      <c r="P186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7" spans="1:16" x14ac:dyDescent="0.25">
      <c r="A187" t="str">
        <f t="shared" si="75"/>
        <v>10</v>
      </c>
      <c r="B187" t="str">
        <f t="shared" si="77"/>
        <v>22</v>
      </c>
      <c r="C187" s="1">
        <v>45468</v>
      </c>
      <c r="D187" t="str">
        <f>CLEAN("1228-22-85")</f>
        <v>1228-22-85</v>
      </c>
      <c r="E187" t="str">
        <f t="shared" si="74"/>
        <v xml:space="preserve">303  </v>
      </c>
      <c r="F187" t="str">
        <f>CLEAN("$0 - $99,999             ")</f>
        <v xml:space="preserve">$0 - $99,999             </v>
      </c>
      <c r="G187" t="str">
        <f>CLEAN("MIS")</f>
        <v>MIS</v>
      </c>
      <c r="H187" t="str">
        <f t="shared" si="78"/>
        <v>NONLET CONSTR/REAL ESTATE</v>
      </c>
      <c r="I187" t="str">
        <f>CLEAN("TRAFFIC MIT-MILW PD 1228-22-71     ")</f>
        <v xml:space="preserve">TRAFFIC MIT-MILW PD 1228-22-71     </v>
      </c>
      <c r="J187" t="str">
        <f t="shared" si="76"/>
        <v>IH  043</v>
      </c>
      <c r="K187" t="str">
        <f>CLEAN("MILWAUKEE                     ")</f>
        <v xml:space="preserve">MILWAUKEE                     </v>
      </c>
      <c r="L187" t="str">
        <f>CLEAN("IH 43 NORTH SOUTH FREEWAY          ")</f>
        <v xml:space="preserve">IH 43 NORTH SOUTH FREEWAY          </v>
      </c>
      <c r="M187" t="str">
        <f>CLEAN("CAPITOL DR-2100 FT N OF HAMPTON AVE")</f>
        <v>CAPITOL DR-2100 FT N OF HAMPTON AVE</v>
      </c>
      <c r="N187">
        <v>1.08</v>
      </c>
      <c r="O187" t="str">
        <f t="shared" si="73"/>
        <v xml:space="preserve">          </v>
      </c>
      <c r="P18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8" spans="1:16" x14ac:dyDescent="0.25">
      <c r="A188" t="str">
        <f t="shared" si="75"/>
        <v>10</v>
      </c>
      <c r="B188" t="str">
        <f t="shared" si="77"/>
        <v>22</v>
      </c>
      <c r="C188" s="1">
        <v>45468</v>
      </c>
      <c r="D188" t="str">
        <f>CLEAN("1228-22-98")</f>
        <v>1228-22-98</v>
      </c>
      <c r="E188" t="str">
        <f t="shared" si="74"/>
        <v xml:space="preserve">303  </v>
      </c>
      <c r="F188" t="str">
        <f>CLEAN("$100,000-$249,999        ")</f>
        <v xml:space="preserve">$100,000-$249,999        </v>
      </c>
      <c r="G188" t="str">
        <f>CLEAN("MIS")</f>
        <v>MIS</v>
      </c>
      <c r="H188" t="str">
        <f t="shared" si="78"/>
        <v>NONLET CONSTR/REAL ESTATE</v>
      </c>
      <c r="I188" t="str">
        <f>CLEAN("TRAF MIT-MILW DPW 1228-22-71       ")</f>
        <v xml:space="preserve">TRAF MIT-MILW DPW 1228-22-71       </v>
      </c>
      <c r="J188" t="str">
        <f t="shared" si="76"/>
        <v>IH  043</v>
      </c>
      <c r="K188" t="str">
        <f>CLEAN("MILWAUKEE                     ")</f>
        <v xml:space="preserve">MILWAUKEE                     </v>
      </c>
      <c r="L188" t="str">
        <f>CLEAN("IH 43 NORTH SOUTH FREEWAY          ")</f>
        <v xml:space="preserve">IH 43 NORTH SOUTH FREEWAY          </v>
      </c>
      <c r="M188" t="str">
        <f>CLEAN("CAPITOL DR-2100 FT N OF HAMPTON AVE")</f>
        <v>CAPITOL DR-2100 FT N OF HAMPTON AVE</v>
      </c>
      <c r="N188">
        <v>1.08</v>
      </c>
      <c r="O188" t="str">
        <f t="shared" si="73"/>
        <v xml:space="preserve">          </v>
      </c>
      <c r="P18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9" spans="1:16" x14ac:dyDescent="0.25">
      <c r="A189" t="str">
        <f t="shared" si="75"/>
        <v>10</v>
      </c>
      <c r="B189" t="str">
        <f t="shared" si="77"/>
        <v>22</v>
      </c>
      <c r="C189" s="1">
        <v>45407</v>
      </c>
      <c r="D189" t="str">
        <f>CLEAN("1228-23-99")</f>
        <v>1228-23-99</v>
      </c>
      <c r="E189" t="str">
        <f t="shared" si="74"/>
        <v xml:space="preserve">303  </v>
      </c>
      <c r="F189" t="str">
        <f>CLEAN("$0 - $99,999             ")</f>
        <v xml:space="preserve">$0 - $99,999             </v>
      </c>
      <c r="G189" t="str">
        <f>CLEAN("MIS")</f>
        <v>MIS</v>
      </c>
      <c r="H189" t="str">
        <f t="shared" si="78"/>
        <v>NONLET CONSTR/REAL ESTATE</v>
      </c>
      <c r="I189" t="str">
        <f>CLEAN("TRAF MIT-C MIL DPW 1228-22-70      ")</f>
        <v xml:space="preserve">TRAF MIT-C MIL DPW 1228-22-70      </v>
      </c>
      <c r="J189" t="str">
        <f t="shared" si="76"/>
        <v>IH  043</v>
      </c>
      <c r="K189" t="str">
        <f>CLEAN("MILWAUKEE                     ")</f>
        <v xml:space="preserve">MILWAUKEE                     </v>
      </c>
      <c r="L189" t="str">
        <f>CLEAN("IH 43 NORTH SOUTH FREEWAY          ")</f>
        <v xml:space="preserve">IH 43 NORTH SOUTH FREEWAY          </v>
      </c>
      <c r="M189" t="str">
        <f>CLEAN("BROWN STREET TO CAPITOL DRIVE      ")</f>
        <v xml:space="preserve">BROWN STREET TO CAPITOL DRIVE      </v>
      </c>
      <c r="N189">
        <v>2.35</v>
      </c>
      <c r="O189" t="str">
        <f t="shared" si="73"/>
        <v xml:space="preserve">          </v>
      </c>
      <c r="P18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90" spans="1:16" x14ac:dyDescent="0.25">
      <c r="A190" t="str">
        <f t="shared" si="75"/>
        <v>10</v>
      </c>
      <c r="B190" t="str">
        <f t="shared" si="77"/>
        <v>22</v>
      </c>
      <c r="C190" s="1">
        <v>45285</v>
      </c>
      <c r="D190" t="str">
        <f>CLEAN("1229-01-46")</f>
        <v>1229-01-46</v>
      </c>
      <c r="E190" t="str">
        <f>CLEAN("302  ")</f>
        <v xml:space="preserve">302  </v>
      </c>
      <c r="F190" t="str">
        <f>CLEAN("$0 - $99,999             ")</f>
        <v xml:space="preserve">$0 - $99,999             </v>
      </c>
      <c r="G190" t="str">
        <f>CLEAN("UTL")</f>
        <v>UTL</v>
      </c>
      <c r="H190" t="str">
        <f t="shared" si="78"/>
        <v>NONLET CONSTR/REAL ESTATE</v>
      </c>
      <c r="I190" t="str">
        <f>CLEAN("UTIL/CITY OF GLENDALE-WATER        ")</f>
        <v xml:space="preserve">UTIL/CITY OF GLENDALE-WATER        </v>
      </c>
      <c r="J190" t="str">
        <f>CLEAN("LOC STR")</f>
        <v>LOC STR</v>
      </c>
      <c r="K190" t="str">
        <f>CLEAN("MILWAUKEE                     ")</f>
        <v xml:space="preserve">MILWAUKEE                     </v>
      </c>
      <c r="L190" t="str">
        <f>CLEAN("CITY GLENDALE, N PORT WASHINGTON RD")</f>
        <v>CITY GLENDALE, N PORT WASHINGTON RD</v>
      </c>
      <c r="M190" t="str">
        <f>CLEAN("BENDER RD TO W DAPHNE RD           ")</f>
        <v xml:space="preserve">BENDER RD TO W DAPHNE RD           </v>
      </c>
      <c r="N190">
        <v>0.69099999999999995</v>
      </c>
      <c r="O190" t="str">
        <f t="shared" si="73"/>
        <v xml:space="preserve">          </v>
      </c>
      <c r="P190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91" spans="1:16" x14ac:dyDescent="0.25">
      <c r="A191" t="str">
        <f t="shared" si="75"/>
        <v>10</v>
      </c>
      <c r="B191" t="str">
        <f t="shared" si="77"/>
        <v>22</v>
      </c>
      <c r="C191" s="1">
        <v>45285</v>
      </c>
      <c r="D191" t="str">
        <f>CLEAN("1229-03-91")</f>
        <v>1229-03-91</v>
      </c>
      <c r="E191" t="str">
        <f>CLEAN("303  ")</f>
        <v xml:space="preserve">303  </v>
      </c>
      <c r="F191" t="str">
        <f>CLEAN("$100,000-$249,999        ")</f>
        <v xml:space="preserve">$100,000-$249,999        </v>
      </c>
      <c r="G191" t="str">
        <f>CLEAN("MIS")</f>
        <v>MIS</v>
      </c>
      <c r="H191" t="str">
        <f t="shared" si="78"/>
        <v>NONLET CONSTR/REAL ESTATE</v>
      </c>
      <c r="I191" t="str">
        <f>CLEAN("TRAFFC MITIGATION FOR ID 1229-03-71")</f>
        <v>TRAFFC MITIGATION FOR ID 1229-03-71</v>
      </c>
      <c r="J191" t="str">
        <f>CLEAN("IH  043")</f>
        <v>IH  043</v>
      </c>
      <c r="K191" t="str">
        <f>CLEAN("OZAUKEE                       ")</f>
        <v xml:space="preserve">OZAUKEE                       </v>
      </c>
      <c r="L191" t="str">
        <f>CLEAN("IH 43 NORTH SOUTH FREEWAY          ")</f>
        <v xml:space="preserve">IH 43 NORTH SOUTH FREEWAY          </v>
      </c>
      <c r="M191" t="str">
        <f>CLEAN("STH 60 TO STH 32                   ")</f>
        <v xml:space="preserve">STH 60 TO STH 32                   </v>
      </c>
      <c r="N191">
        <v>1.6990000000000001</v>
      </c>
      <c r="O191" t="str">
        <f t="shared" si="73"/>
        <v xml:space="preserve">          </v>
      </c>
      <c r="P19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92" spans="1:16" x14ac:dyDescent="0.25">
      <c r="A192" t="str">
        <f t="shared" si="75"/>
        <v>10</v>
      </c>
      <c r="B192" t="str">
        <f t="shared" si="77"/>
        <v>22</v>
      </c>
      <c r="C192" s="1">
        <v>45285</v>
      </c>
      <c r="D192" t="str">
        <f>CLEAN("1229-04-43")</f>
        <v>1229-04-43</v>
      </c>
      <c r="E192" t="str">
        <f>CLEAN("302  ")</f>
        <v xml:space="preserve">302  </v>
      </c>
      <c r="F192" t="str">
        <f>CLEAN("$1,000,000 - $1,999,999  ")</f>
        <v xml:space="preserve">$1,000,000 - $1,999,999  </v>
      </c>
      <c r="G192" t="str">
        <f>CLEAN("UTL")</f>
        <v>UTL</v>
      </c>
      <c r="H192" t="str">
        <f t="shared" si="78"/>
        <v>NONLET CONSTR/REAL ESTATE</v>
      </c>
      <c r="I192" t="str">
        <f>CLEAN("EX-UTL/LEVEL OF EFFORT FY2023      ")</f>
        <v xml:space="preserve">EX-UTL/LEVEL OF EFFORT FY2023      </v>
      </c>
      <c r="J192" t="str">
        <f>CLEAN("IH  043")</f>
        <v>IH  043</v>
      </c>
      <c r="K192" t="str">
        <f>CLEAN("OZAUKEE                       ")</f>
        <v xml:space="preserve">OZAUKEE                       </v>
      </c>
      <c r="L192" t="str">
        <f>CLEAN("I-43 NORTH SOUTH FREEWAY           ")</f>
        <v xml:space="preserve">I-43 NORTH SOUTH FREEWAY           </v>
      </c>
      <c r="M192" t="str">
        <f>CLEAN("SILVER SPRING TO STH 60            ")</f>
        <v xml:space="preserve">SILVER SPRING TO STH 60            </v>
      </c>
      <c r="N192">
        <v>14.112</v>
      </c>
      <c r="O192" t="str">
        <f t="shared" si="73"/>
        <v xml:space="preserve">          </v>
      </c>
      <c r="P192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93" spans="1:16" x14ac:dyDescent="0.25">
      <c r="A193" t="str">
        <f t="shared" si="75"/>
        <v>10</v>
      </c>
      <c r="B193" t="str">
        <f t="shared" si="77"/>
        <v>22</v>
      </c>
      <c r="C193" s="1">
        <v>45285</v>
      </c>
      <c r="D193" t="str">
        <f>CLEAN("1229-04-78")</f>
        <v>1229-04-78</v>
      </c>
      <c r="E193" t="str">
        <f>CLEAN("302  ")</f>
        <v xml:space="preserve">302  </v>
      </c>
      <c r="F193" t="str">
        <f>CLEAN("$0 - $99,999             ")</f>
        <v xml:space="preserve">$0 - $99,999             </v>
      </c>
      <c r="G193" t="str">
        <f>CLEAN("CCO")</f>
        <v>CCO</v>
      </c>
      <c r="H193" t="str">
        <f t="shared" si="78"/>
        <v>NONLET CONSTR/REAL ESTATE</v>
      </c>
      <c r="I193" t="str">
        <f>CLEAN("CCO/FOR ID 1229-04-76              ")</f>
        <v xml:space="preserve">CCO/FOR ID 1229-04-76              </v>
      </c>
      <c r="J193" t="str">
        <f>CLEAN("IH  043")</f>
        <v>IH  043</v>
      </c>
      <c r="K193" t="str">
        <f>CLEAN("MILWAUKEE                     ")</f>
        <v xml:space="preserve">MILWAUKEE                     </v>
      </c>
      <c r="L193" t="str">
        <f>CLEAN("I-43 NORTH SOUTH FREEWAY           ")</f>
        <v xml:space="preserve">I-43 NORTH SOUTH FREEWAY           </v>
      </c>
      <c r="M193" t="str">
        <f>CLEAN("COMMUNICATION VAULT                ")</f>
        <v xml:space="preserve">COMMUNICATION VAULT                </v>
      </c>
      <c r="N193">
        <v>6.2469999999999999</v>
      </c>
      <c r="O193" t="str">
        <f t="shared" si="73"/>
        <v xml:space="preserve">          </v>
      </c>
      <c r="P193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94" spans="1:16" x14ac:dyDescent="0.25">
      <c r="A194" t="str">
        <f t="shared" si="75"/>
        <v>10</v>
      </c>
      <c r="B194" t="str">
        <f t="shared" si="77"/>
        <v>22</v>
      </c>
      <c r="C194" s="1">
        <v>45590</v>
      </c>
      <c r="D194" t="str">
        <f>CLEAN("1310-19-20")</f>
        <v>1310-19-20</v>
      </c>
      <c r="E194" t="str">
        <f t="shared" ref="E194:E210" si="79">CLEAN("303  ")</f>
        <v xml:space="preserve">303  </v>
      </c>
      <c r="F194" t="str">
        <f>CLEAN("$0 - $99,999             ")</f>
        <v xml:space="preserve">$0 - $99,999             </v>
      </c>
      <c r="G194" t="str">
        <f>CLEAN("R/E")</f>
        <v>R/E</v>
      </c>
      <c r="H194" t="str">
        <f t="shared" si="78"/>
        <v>NONLET CONSTR/REAL ESTATE</v>
      </c>
      <c r="I194" t="str">
        <f>CLEAN("RE/RSRF25                          ")</f>
        <v xml:space="preserve">RE/RSRF25                          </v>
      </c>
      <c r="J194" t="str">
        <f>CLEAN("STH 083")</f>
        <v>STH 083</v>
      </c>
      <c r="K194" t="str">
        <f t="shared" ref="K194:K199" si="80">CLEAN("RACINE                        ")</f>
        <v xml:space="preserve">RACINE                        </v>
      </c>
      <c r="L194" t="str">
        <f>CLEAN("ANTIOCH - BURLINGTON               ")</f>
        <v xml:space="preserve">ANTIOCH - BURLINGTON               </v>
      </c>
      <c r="M194" t="str">
        <f>CLEAN("CTH JB TO STH 11                   ")</f>
        <v xml:space="preserve">CTH JB TO STH 11                   </v>
      </c>
      <c r="N194">
        <v>3.6</v>
      </c>
      <c r="O194" t="str">
        <f t="shared" si="73"/>
        <v xml:space="preserve">          </v>
      </c>
      <c r="P19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95" spans="1:16" x14ac:dyDescent="0.25">
      <c r="A195" t="str">
        <f t="shared" si="75"/>
        <v>10</v>
      </c>
      <c r="B195" t="str">
        <f t="shared" si="77"/>
        <v>22</v>
      </c>
      <c r="C195" s="1">
        <v>45347</v>
      </c>
      <c r="D195" t="str">
        <f>CLEAN("1320-07-40")</f>
        <v>1320-07-40</v>
      </c>
      <c r="E195" t="str">
        <f t="shared" si="79"/>
        <v xml:space="preserve">303  </v>
      </c>
      <c r="F195" t="str">
        <f>CLEAN("$0 - $99,999             ")</f>
        <v xml:space="preserve">$0 - $99,999             </v>
      </c>
      <c r="G195" t="str">
        <f>CLEAN("UTL")</f>
        <v>UTL</v>
      </c>
      <c r="H195" t="str">
        <f t="shared" si="78"/>
        <v>NONLET CONSTR/REAL ESTATE</v>
      </c>
      <c r="I195" t="str">
        <f>CLEAN("UTIL/TDS TELECOM                   ")</f>
        <v xml:space="preserve">UTIL/TDS TELECOM                   </v>
      </c>
      <c r="J195" t="str">
        <f>CLEAN("STH 011")</f>
        <v>STH 011</v>
      </c>
      <c r="K195" t="str">
        <f t="shared" si="80"/>
        <v xml:space="preserve">RACINE                        </v>
      </c>
      <c r="L195" t="str">
        <f>CLEAN("STH 11                             ")</f>
        <v xml:space="preserve">STH 11                             </v>
      </c>
      <c r="M195" t="str">
        <f>CLEAN("CTH J                              ")</f>
        <v xml:space="preserve">CTH J                              </v>
      </c>
      <c r="N195">
        <v>0.315</v>
      </c>
      <c r="O195" t="str">
        <f t="shared" si="73"/>
        <v xml:space="preserve">          </v>
      </c>
      <c r="P1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96" spans="1:16" x14ac:dyDescent="0.25">
      <c r="A196" t="str">
        <f t="shared" si="75"/>
        <v>10</v>
      </c>
      <c r="B196" t="str">
        <f t="shared" si="77"/>
        <v>22</v>
      </c>
      <c r="C196" s="1">
        <v>45363</v>
      </c>
      <c r="D196" t="str">
        <f>CLEAN("1320-07-73")</f>
        <v>1320-07-73</v>
      </c>
      <c r="E196" t="str">
        <f t="shared" si="79"/>
        <v xml:space="preserve">303  </v>
      </c>
      <c r="F196" t="str">
        <f>CLEAN("$1,000,000 - $1,999,999  ")</f>
        <v xml:space="preserve">$1,000,000 - $1,999,999  </v>
      </c>
      <c r="G196" t="str">
        <f>CLEAN("LET")</f>
        <v>LET</v>
      </c>
      <c r="H196" t="str">
        <f>CLEAN("LET CONSTRUCTION         ")</f>
        <v xml:space="preserve">LET CONSTRUCTION         </v>
      </c>
      <c r="I196" t="str">
        <f>CLEAN("HSIP/ROUND ABOUT                   ")</f>
        <v xml:space="preserve">HSIP/ROUND ABOUT                   </v>
      </c>
      <c r="J196" t="str">
        <f>CLEAN("STH 011")</f>
        <v>STH 011</v>
      </c>
      <c r="K196" t="str">
        <f t="shared" si="80"/>
        <v xml:space="preserve">RACINE                        </v>
      </c>
      <c r="L196" t="str">
        <f>CLEAN("BURLINGTON - RACINE                ")</f>
        <v xml:space="preserve">BURLINGTON - RACINE                </v>
      </c>
      <c r="M196" t="str">
        <f>CLEAN("CTH J                              ")</f>
        <v xml:space="preserve">CTH J                              </v>
      </c>
      <c r="N196">
        <v>0.24</v>
      </c>
      <c r="O196" t="str">
        <f t="shared" si="73"/>
        <v xml:space="preserve">          </v>
      </c>
      <c r="P19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97" spans="1:16" x14ac:dyDescent="0.25">
      <c r="A197" t="str">
        <f t="shared" si="75"/>
        <v>10</v>
      </c>
      <c r="B197" t="str">
        <f t="shared" si="77"/>
        <v>22</v>
      </c>
      <c r="C197" s="1">
        <v>45363</v>
      </c>
      <c r="D197" t="str">
        <f>CLEAN("1320-07-73")</f>
        <v>1320-07-73</v>
      </c>
      <c r="E197" t="str">
        <f t="shared" si="79"/>
        <v xml:space="preserve">303  </v>
      </c>
      <c r="F197" t="str">
        <f>CLEAN("$1,000,000 - $1,999,999  ")</f>
        <v xml:space="preserve">$1,000,000 - $1,999,999  </v>
      </c>
      <c r="G197" t="str">
        <f>CLEAN("LET")</f>
        <v>LET</v>
      </c>
      <c r="H197" t="str">
        <f>CLEAN("LET CONSTRUCTION         ")</f>
        <v xml:space="preserve">LET CONSTRUCTION         </v>
      </c>
      <c r="I197" t="str">
        <f>CLEAN("HSIP/ROUND ABOUT                   ")</f>
        <v xml:space="preserve">HSIP/ROUND ABOUT                   </v>
      </c>
      <c r="J197" t="str">
        <f>CLEAN("STH 011")</f>
        <v>STH 011</v>
      </c>
      <c r="K197" t="str">
        <f t="shared" si="80"/>
        <v xml:space="preserve">RACINE                        </v>
      </c>
      <c r="L197" t="str">
        <f>CLEAN("BURLINGTON - RACINE                ")</f>
        <v xml:space="preserve">BURLINGTON - RACINE                </v>
      </c>
      <c r="M197" t="str">
        <f>CLEAN("CTH J                              ")</f>
        <v xml:space="preserve">CTH J                              </v>
      </c>
      <c r="N197">
        <v>0.24</v>
      </c>
      <c r="O197" t="str">
        <f t="shared" si="73"/>
        <v xml:space="preserve">          </v>
      </c>
      <c r="P197" t="str">
        <f t="shared" ref="P197:P203" si="81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98" spans="1:16" x14ac:dyDescent="0.25">
      <c r="A198" t="str">
        <f t="shared" si="75"/>
        <v>10</v>
      </c>
      <c r="B198" t="str">
        <f t="shared" si="77"/>
        <v>22</v>
      </c>
      <c r="C198" s="1">
        <v>45590</v>
      </c>
      <c r="D198" t="str">
        <f>CLEAN("1320-27-20")</f>
        <v>1320-27-20</v>
      </c>
      <c r="E198" t="str">
        <f t="shared" si="79"/>
        <v xml:space="preserve">303  </v>
      </c>
      <c r="F198" t="str">
        <f>CLEAN("$750,000 - $999,999      ")</f>
        <v xml:space="preserve">$750,000 - $999,999      </v>
      </c>
      <c r="G198" t="str">
        <f>CLEAN("R/E")</f>
        <v>R/E</v>
      </c>
      <c r="H198" t="str">
        <f>CLEAN("NONLET CONSTR/REAL ESTATE")</f>
        <v>NONLET CONSTR/REAL ESTATE</v>
      </c>
      <c r="I198" t="str">
        <f>CLEAN("RE/PVRPL                           ")</f>
        <v xml:space="preserve">RE/PVRPL                           </v>
      </c>
      <c r="J198" t="str">
        <f>CLEAN("STH 011")</f>
        <v>STH 011</v>
      </c>
      <c r="K198" t="str">
        <f t="shared" si="80"/>
        <v xml:space="preserve">RACINE                        </v>
      </c>
      <c r="L198" t="str">
        <f>CLEAN("VIL OF UNION GROVE, DURAND AVD     ")</f>
        <v xml:space="preserve">VIL OF UNION GROVE, DURAND AVD     </v>
      </c>
      <c r="M198" t="str">
        <f>CLEAN("CTH C TO 67TH DR                   ")</f>
        <v xml:space="preserve">CTH C TO 67TH DR                   </v>
      </c>
      <c r="N198">
        <v>3.198</v>
      </c>
      <c r="O198" t="str">
        <f t="shared" si="73"/>
        <v xml:space="preserve">          </v>
      </c>
      <c r="P198" t="str">
        <f t="shared" si="81"/>
        <v xml:space="preserve">STATE 3R                                                                                            </v>
      </c>
    </row>
    <row r="199" spans="1:16" x14ac:dyDescent="0.25">
      <c r="A199" t="str">
        <f t="shared" si="75"/>
        <v>10</v>
      </c>
      <c r="B199" t="str">
        <f t="shared" si="77"/>
        <v>22</v>
      </c>
      <c r="C199" s="1">
        <v>45621</v>
      </c>
      <c r="D199" t="str">
        <f>CLEAN("1320-27-21")</f>
        <v>1320-27-21</v>
      </c>
      <c r="E199" t="str">
        <f t="shared" si="79"/>
        <v xml:space="preserve">303  </v>
      </c>
      <c r="F199" t="str">
        <f>CLEAN("$100,000-$249,999        ")</f>
        <v xml:space="preserve">$100,000-$249,999        </v>
      </c>
      <c r="G199" t="str">
        <f>CLEAN("R/E")</f>
        <v>R/E</v>
      </c>
      <c r="H199" t="str">
        <f>CLEAN("NONLET CONSTR/REAL ESTATE")</f>
        <v>NONLET CONSTR/REAL ESTATE</v>
      </c>
      <c r="I199" t="str">
        <f>CLEAN("RE/SIDEWALK/PVRPLA                 ")</f>
        <v xml:space="preserve">RE/SIDEWALK/PVRPLA                 </v>
      </c>
      <c r="J199" t="str">
        <f>CLEAN("STH 011")</f>
        <v>STH 011</v>
      </c>
      <c r="K199" t="str">
        <f t="shared" si="80"/>
        <v xml:space="preserve">RACINE                        </v>
      </c>
      <c r="L199" t="str">
        <f>CLEAN("VIL OF UNION GROVE, DURAND AVD     ")</f>
        <v xml:space="preserve">VIL OF UNION GROVE, DURAND AVD     </v>
      </c>
      <c r="M199" t="str">
        <f>CLEAN("CTH C TO 67TH DR                   ")</f>
        <v xml:space="preserve">CTH C TO 67TH DR                   </v>
      </c>
      <c r="N199">
        <v>3.198</v>
      </c>
      <c r="O199" t="str">
        <f t="shared" si="73"/>
        <v xml:space="preserve">          </v>
      </c>
      <c r="P199" t="str">
        <f t="shared" si="81"/>
        <v xml:space="preserve">STATE 3R                                                                                            </v>
      </c>
    </row>
    <row r="200" spans="1:16" x14ac:dyDescent="0.25">
      <c r="A200" t="str">
        <f t="shared" si="75"/>
        <v>10</v>
      </c>
      <c r="B200" t="str">
        <f t="shared" si="77"/>
        <v>22</v>
      </c>
      <c r="C200" s="1">
        <v>45347</v>
      </c>
      <c r="D200" t="str">
        <f>CLEAN("1330-34-20")</f>
        <v>1330-34-20</v>
      </c>
      <c r="E200" t="str">
        <f t="shared" si="79"/>
        <v xml:space="preserve">303  </v>
      </c>
      <c r="F200" t="str">
        <f>CLEAN("$0 - $99,999             ")</f>
        <v xml:space="preserve">$0 - $99,999             </v>
      </c>
      <c r="G200" t="str">
        <f>CLEAN("R/E")</f>
        <v>R/E</v>
      </c>
      <c r="H200" t="str">
        <f>CLEAN("NONLET CONSTR/REAL ESTATE")</f>
        <v>NONLET CONSTR/REAL ESTATE</v>
      </c>
      <c r="I200" t="str">
        <f>CLEAN("RE/RSRF15                          ")</f>
        <v xml:space="preserve">RE/RSRF15                          </v>
      </c>
      <c r="J200" t="str">
        <f>CLEAN("STH 083")</f>
        <v>STH 083</v>
      </c>
      <c r="K200" t="str">
        <f>CLEAN("WAUKESHA                      ")</f>
        <v xml:space="preserve">WAUKESHA                      </v>
      </c>
      <c r="L200" t="str">
        <f>CLEAN("WALES - HARTFORD                   ")</f>
        <v xml:space="preserve">WALES - HARTFORD                   </v>
      </c>
      <c r="M200" t="str">
        <f>CLEAN("PERKINS ROAD TO GLACIER PASS       ")</f>
        <v xml:space="preserve">PERKINS ROAD TO GLACIER PASS       </v>
      </c>
      <c r="N200">
        <v>3.3010000000000002</v>
      </c>
      <c r="O200" t="str">
        <f t="shared" si="73"/>
        <v xml:space="preserve">          </v>
      </c>
      <c r="P200" t="str">
        <f t="shared" si="81"/>
        <v xml:space="preserve">STATE 3R                                                                                            </v>
      </c>
    </row>
    <row r="201" spans="1:16" x14ac:dyDescent="0.25">
      <c r="A201" t="str">
        <f t="shared" si="75"/>
        <v>10</v>
      </c>
      <c r="B201" t="str">
        <f>CLEAN("21")</f>
        <v>21</v>
      </c>
      <c r="C201" s="1">
        <v>45363</v>
      </c>
      <c r="D201" t="str">
        <f>CLEAN("1370-00-74")</f>
        <v>1370-00-74</v>
      </c>
      <c r="E201" t="str">
        <f t="shared" si="79"/>
        <v xml:space="preserve">303  </v>
      </c>
      <c r="F201" t="str">
        <f>CLEAN("$1,000,000 - $1,999,999  ")</f>
        <v xml:space="preserve">$1,000,000 - $1,999,999  </v>
      </c>
      <c r="G201" t="str">
        <f>CLEAN("LET")</f>
        <v>LET</v>
      </c>
      <c r="H201" t="str">
        <f>CLEAN("LET CONSTRUCTION         ")</f>
        <v xml:space="preserve">LET CONSTRUCTION         </v>
      </c>
      <c r="I201" t="str">
        <f>CLEAN("CONST/ MILL AND OVERLAY            ")</f>
        <v xml:space="preserve">CONST/ MILL AND OVERLAY            </v>
      </c>
      <c r="J201" t="str">
        <f>CLEAN("STH 016")</f>
        <v>STH 016</v>
      </c>
      <c r="K201" t="str">
        <f>CLEAN("JEFFERSON                     ")</f>
        <v xml:space="preserve">JEFFERSON                     </v>
      </c>
      <c r="L201" t="str">
        <f>CLEAN("WATERTOWN - WAUKESHA               ")</f>
        <v xml:space="preserve">WATERTOWN - WAUKESHA               </v>
      </c>
      <c r="M201" t="str">
        <f>CLEAN("ROCK RIVER ROAD TO ECL             ")</f>
        <v xml:space="preserve">ROCK RIVER ROAD TO ECL             </v>
      </c>
      <c r="N201">
        <v>2.0950000000000002</v>
      </c>
      <c r="O201" t="str">
        <f>CLEAN("3310-06-70")</f>
        <v>3310-06-70</v>
      </c>
      <c r="P201" t="str">
        <f t="shared" si="81"/>
        <v xml:space="preserve">STATE 3R                                                                                            </v>
      </c>
    </row>
    <row r="202" spans="1:16" x14ac:dyDescent="0.25">
      <c r="A202" t="str">
        <f t="shared" si="75"/>
        <v>10</v>
      </c>
      <c r="B202" t="str">
        <f>CLEAN("22")</f>
        <v>22</v>
      </c>
      <c r="C202" s="1">
        <v>45316</v>
      </c>
      <c r="D202" t="str">
        <f>CLEAN("1380-02-21")</f>
        <v>1380-02-21</v>
      </c>
      <c r="E202" t="str">
        <f t="shared" si="79"/>
        <v xml:space="preserve">303  </v>
      </c>
      <c r="F202" t="str">
        <f>CLEAN("$0 - $99,999             ")</f>
        <v xml:space="preserve">$0 - $99,999             </v>
      </c>
      <c r="G202" t="str">
        <f>CLEAN("R/E")</f>
        <v>R/E</v>
      </c>
      <c r="H202" t="str">
        <f>CLEAN("NONLET CONSTR/REAL ESTATE")</f>
        <v>NONLET CONSTR/REAL ESTATE</v>
      </c>
      <c r="I202" t="str">
        <f>CLEAN("RE/RESURFACINE                     ")</f>
        <v xml:space="preserve">RE/RESURFACINE                     </v>
      </c>
      <c r="J202" t="str">
        <f>CLEAN("STH 167")</f>
        <v>STH 167</v>
      </c>
      <c r="K202" t="str">
        <f>CLEAN("OZAUKEE                       ")</f>
        <v xml:space="preserve">OZAUKEE                       </v>
      </c>
      <c r="L202" t="str">
        <f>CLEAN("MEQUON ROAD, CITY OF MEQUON        ")</f>
        <v xml:space="preserve">MEQUON ROAD, CITY OF MEQUON        </v>
      </c>
      <c r="M202" t="str">
        <f>CLEAN("WASHINGTON CO LINE TO BUNTROCK AVE ")</f>
        <v xml:space="preserve">WASHINGTON CO LINE TO BUNTROCK AVE </v>
      </c>
      <c r="N202">
        <v>3.74</v>
      </c>
      <c r="O202" t="str">
        <f t="shared" ref="O202:O208" si="82">CLEAN("          ")</f>
        <v xml:space="preserve">          </v>
      </c>
      <c r="P202" t="str">
        <f t="shared" si="81"/>
        <v xml:space="preserve">STATE 3R                                                                                            </v>
      </c>
    </row>
    <row r="203" spans="1:16" x14ac:dyDescent="0.25">
      <c r="A203" t="str">
        <f t="shared" si="75"/>
        <v>10</v>
      </c>
      <c r="B203" t="str">
        <f>CLEAN("22")</f>
        <v>22</v>
      </c>
      <c r="C203" s="1">
        <v>45560</v>
      </c>
      <c r="D203" t="str">
        <f>CLEAN("1380-02-22")</f>
        <v>1380-02-22</v>
      </c>
      <c r="E203" t="str">
        <f t="shared" si="79"/>
        <v xml:space="preserve">303  </v>
      </c>
      <c r="F203" t="str">
        <f>CLEAN("$0 - $99,999             ")</f>
        <v xml:space="preserve">$0 - $99,999             </v>
      </c>
      <c r="G203" t="str">
        <f>CLEAN("R/E")</f>
        <v>R/E</v>
      </c>
      <c r="H203" t="str">
        <f>CLEAN("NONLET CONSTR/REAL ESTATE")</f>
        <v>NONLET CONSTR/REAL ESTATE</v>
      </c>
      <c r="I203" t="str">
        <f>CLEAN("RE/PVRPLA                          ")</f>
        <v xml:space="preserve">RE/PVRPLA                          </v>
      </c>
      <c r="J203" t="str">
        <f>CLEAN("STH 167")</f>
        <v>STH 167</v>
      </c>
      <c r="K203" t="str">
        <f>CLEAN("OZAUKEE                       ")</f>
        <v xml:space="preserve">OZAUKEE                       </v>
      </c>
      <c r="L203" t="str">
        <f>CLEAN("MEQUON ROAD, CITY OF MEQUON        ")</f>
        <v xml:space="preserve">MEQUON ROAD, CITY OF MEQUON        </v>
      </c>
      <c r="M203" t="str">
        <f>CLEAN("STH 181 INTERSECTION               ")</f>
        <v xml:space="preserve">STH 181 INTERSECTION               </v>
      </c>
      <c r="N203">
        <v>0.217</v>
      </c>
      <c r="O203" t="str">
        <f t="shared" si="82"/>
        <v xml:space="preserve">          </v>
      </c>
      <c r="P203" t="str">
        <f t="shared" si="81"/>
        <v xml:space="preserve">STATE 3R                                                                                            </v>
      </c>
    </row>
    <row r="204" spans="1:16" x14ac:dyDescent="0.25">
      <c r="A204" t="str">
        <f t="shared" si="75"/>
        <v>10</v>
      </c>
      <c r="B204" t="str">
        <f>CLEAN("21")</f>
        <v>21</v>
      </c>
      <c r="C204" s="1">
        <v>45272</v>
      </c>
      <c r="D204" t="str">
        <f>CLEAN("1390-06-70")</f>
        <v>1390-06-70</v>
      </c>
      <c r="E204" t="str">
        <f t="shared" si="79"/>
        <v xml:space="preserve">303  </v>
      </c>
      <c r="F204" t="str">
        <f>CLEAN("$3,000,000 - $3,999,999  ")</f>
        <v xml:space="preserve">$3,000,000 - $3,999,999  </v>
      </c>
      <c r="G204" t="str">
        <f>CLEAN("LET")</f>
        <v>LET</v>
      </c>
      <c r="H204" t="str">
        <f>CLEAN("LET CONSTRUCTION         ")</f>
        <v xml:space="preserve">LET CONSTRUCTION         </v>
      </c>
      <c r="I204" t="str">
        <f>CLEAN("CONST/ PSRS40                      ")</f>
        <v xml:space="preserve">CONST/ PSRS40                      </v>
      </c>
      <c r="J204" t="str">
        <f>CLEAN("STH 026")</f>
        <v>STH 026</v>
      </c>
      <c r="K204" t="str">
        <f>CLEAN("DODGE                         ")</f>
        <v xml:space="preserve">DODGE                         </v>
      </c>
      <c r="L204" t="str">
        <f>CLEAN("WATERTOWN - WAUPUN                 ")</f>
        <v xml:space="preserve">WATERTOWN - WAUPUN                 </v>
      </c>
      <c r="M204" t="str">
        <f>CLEAN("STH 33 TO 0.2 MI S OF MILLIGAN RD  ")</f>
        <v xml:space="preserve">STH 33 TO 0.2 MI S OF MILLIGAN RD  </v>
      </c>
      <c r="N204">
        <v>10.927</v>
      </c>
      <c r="O204" t="str">
        <f t="shared" si="82"/>
        <v xml:space="preserve">          </v>
      </c>
      <c r="P20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05" spans="1:16" x14ac:dyDescent="0.25">
      <c r="A205" t="str">
        <f t="shared" si="75"/>
        <v>10</v>
      </c>
      <c r="B205" t="str">
        <f>CLEAN("21")</f>
        <v>21</v>
      </c>
      <c r="C205" s="1">
        <v>45272</v>
      </c>
      <c r="D205" t="str">
        <f>CLEAN("1390-06-70")</f>
        <v>1390-06-70</v>
      </c>
      <c r="E205" t="str">
        <f t="shared" si="79"/>
        <v xml:space="preserve">303  </v>
      </c>
      <c r="F205" t="str">
        <f>CLEAN("$3,000,000 - $3,999,999  ")</f>
        <v xml:space="preserve">$3,000,000 - $3,999,999  </v>
      </c>
      <c r="G205" t="str">
        <f>CLEAN("LET")</f>
        <v>LET</v>
      </c>
      <c r="H205" t="str">
        <f>CLEAN("LET CONSTRUCTION         ")</f>
        <v xml:space="preserve">LET CONSTRUCTION         </v>
      </c>
      <c r="I205" t="str">
        <f>CLEAN("CONST/ PSRS40                      ")</f>
        <v xml:space="preserve">CONST/ PSRS40                      </v>
      </c>
      <c r="J205" t="str">
        <f>CLEAN("STH 026")</f>
        <v>STH 026</v>
      </c>
      <c r="K205" t="str">
        <f>CLEAN("DODGE                         ")</f>
        <v xml:space="preserve">DODGE                         </v>
      </c>
      <c r="L205" t="str">
        <f>CLEAN("WATERTOWN - WAUPUN                 ")</f>
        <v xml:space="preserve">WATERTOWN - WAUPUN                 </v>
      </c>
      <c r="M205" t="str">
        <f>CLEAN("STH 33 TO 0.2 MI S OF MILLIGAN RD  ")</f>
        <v xml:space="preserve">STH 33 TO 0.2 MI S OF MILLIGAN RD  </v>
      </c>
      <c r="N205">
        <v>10.927</v>
      </c>
      <c r="O205" t="str">
        <f t="shared" si="82"/>
        <v xml:space="preserve">          </v>
      </c>
      <c r="P20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06" spans="1:16" x14ac:dyDescent="0.25">
      <c r="A206" t="str">
        <f t="shared" si="75"/>
        <v>10</v>
      </c>
      <c r="B206" t="str">
        <f>CLEAN("21")</f>
        <v>21</v>
      </c>
      <c r="C206" s="1">
        <v>45545</v>
      </c>
      <c r="D206" t="str">
        <f>CLEAN("1400-01-74")</f>
        <v>1400-01-74</v>
      </c>
      <c r="E206" t="str">
        <f t="shared" si="79"/>
        <v xml:space="preserve">303  </v>
      </c>
      <c r="F206" t="str">
        <f>CLEAN("$250,000 - $499,999      ")</f>
        <v xml:space="preserve">$250,000 - $499,999      </v>
      </c>
      <c r="G206" t="str">
        <f>CLEAN("LET")</f>
        <v>LET</v>
      </c>
      <c r="H206" t="str">
        <f>CLEAN("LET CONSTRUCTION         ")</f>
        <v xml:space="preserve">LET CONSTRUCTION         </v>
      </c>
      <c r="I206" t="str">
        <f>CLEAN("CONST/ MILL AND OVERLAY            ")</f>
        <v xml:space="preserve">CONST/ MILL AND OVERLAY            </v>
      </c>
      <c r="J206" t="str">
        <f>CLEAN("USH 051")</f>
        <v>USH 051</v>
      </c>
      <c r="K206" t="str">
        <f>CLEAN("COLUMBIA                      ")</f>
        <v xml:space="preserve">COLUMBIA                      </v>
      </c>
      <c r="L206" t="str">
        <f>CLEAN("C PORTAGE, WISCONSIN STREET        ")</f>
        <v xml:space="preserve">C PORTAGE, WISCONSIN STREET        </v>
      </c>
      <c r="M206" t="str">
        <f>CLEAN("PLEASANT STREET TO DEWITT STREET   ")</f>
        <v xml:space="preserve">PLEASANT STREET TO DEWITT STREET   </v>
      </c>
      <c r="N206">
        <v>0</v>
      </c>
      <c r="O206" t="str">
        <f t="shared" si="82"/>
        <v xml:space="preserve">          </v>
      </c>
      <c r="P2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07" spans="1:16" x14ac:dyDescent="0.25">
      <c r="A207" t="str">
        <f t="shared" si="75"/>
        <v>10</v>
      </c>
      <c r="B207" t="str">
        <f>CLEAN("22")</f>
        <v>22</v>
      </c>
      <c r="C207" s="1">
        <v>45590</v>
      </c>
      <c r="D207" t="str">
        <f>CLEAN("1410-16-20")</f>
        <v>1410-16-20</v>
      </c>
      <c r="E207" t="str">
        <f t="shared" si="79"/>
        <v xml:space="preserve">303  </v>
      </c>
      <c r="F207" t="str">
        <f>CLEAN("$0 - $99,999             ")</f>
        <v xml:space="preserve">$0 - $99,999             </v>
      </c>
      <c r="G207" t="str">
        <f>CLEAN("R/E")</f>
        <v>R/E</v>
      </c>
      <c r="H207" t="str">
        <f>CLEAN("NONLET CONSTR/REAL ESTATE")</f>
        <v>NONLET CONSTR/REAL ESTATE</v>
      </c>
      <c r="I207" t="str">
        <f>CLEAN("RE/RESURFACE                       ")</f>
        <v xml:space="preserve">RE/RESURFACE                       </v>
      </c>
      <c r="J207" t="str">
        <f>CLEAN("STH 033")</f>
        <v>STH 033</v>
      </c>
      <c r="K207" t="str">
        <f>CLEAN("OZAUKEE                       ")</f>
        <v xml:space="preserve">OZAUKEE                       </v>
      </c>
      <c r="L207" t="str">
        <f>CLEAN("NEWBURG-SAUKVILLE                  ")</f>
        <v xml:space="preserve">NEWBURG-SAUKVILLE                  </v>
      </c>
      <c r="M207" t="str">
        <f>CLEAN("CTH Y TO 500' NE OF CTH W          ")</f>
        <v xml:space="preserve">CTH Y TO 500' NE OF CTH W          </v>
      </c>
      <c r="N207">
        <v>5.9560000000000004</v>
      </c>
      <c r="O207" t="str">
        <f t="shared" si="82"/>
        <v xml:space="preserve">          </v>
      </c>
      <c r="P2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08" spans="1:16" x14ac:dyDescent="0.25">
      <c r="A208" t="str">
        <f t="shared" si="75"/>
        <v>10</v>
      </c>
      <c r="B208" t="str">
        <f>CLEAN("24")</f>
        <v>24</v>
      </c>
      <c r="C208" s="1">
        <v>45407</v>
      </c>
      <c r="D208" t="str">
        <f>CLEAN("1430-08-23")</f>
        <v>1430-08-23</v>
      </c>
      <c r="E208" t="str">
        <f t="shared" si="79"/>
        <v xml:space="preserve">303  </v>
      </c>
      <c r="F208" t="str">
        <f>CLEAN("$0 - $99,999             ")</f>
        <v xml:space="preserve">$0 - $99,999             </v>
      </c>
      <c r="G208" t="str">
        <f>CLEAN("R/E")</f>
        <v>R/E</v>
      </c>
      <c r="H208" t="str">
        <f>CLEAN("NONLET CONSTR/REAL ESTATE")</f>
        <v>NONLET CONSTR/REAL ESTATE</v>
      </c>
      <c r="I208" t="str">
        <f>CLEAN("REAL ESTATE/RESURFACE              ")</f>
        <v xml:space="preserve">REAL ESTATE/RESURFACE              </v>
      </c>
      <c r="J208" t="str">
        <f>CLEAN("STH 023")</f>
        <v>STH 023</v>
      </c>
      <c r="K208" t="str">
        <f>CLEAN("GREEN LAKE                    ")</f>
        <v xml:space="preserve">GREEN LAKE                    </v>
      </c>
      <c r="L208" t="str">
        <f>CLEAN("C PRINCETON, MAIN &amp; FULTON STREETS ")</f>
        <v xml:space="preserve">C PRINCETON, MAIN &amp; FULTON STREETS </v>
      </c>
      <c r="M208" t="str">
        <f>CLEAN("FOX RVR BRIDGE TO OLD GREEN LAKE RD")</f>
        <v>FOX RVR BRIDGE TO OLD GREEN LAKE RD</v>
      </c>
      <c r="N208">
        <v>1.1599999999999999</v>
      </c>
      <c r="O208" t="str">
        <f t="shared" si="82"/>
        <v xml:space="preserve">          </v>
      </c>
      <c r="P2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09" spans="1:16" x14ac:dyDescent="0.25">
      <c r="A209" t="str">
        <f t="shared" si="75"/>
        <v>10</v>
      </c>
      <c r="B209" t="str">
        <f>CLEAN("24")</f>
        <v>24</v>
      </c>
      <c r="C209" s="1">
        <v>45300</v>
      </c>
      <c r="D209" t="str">
        <f>CLEAN("1430-08-81")</f>
        <v>1430-08-81</v>
      </c>
      <c r="E209" t="str">
        <f t="shared" si="79"/>
        <v xml:space="preserve">303  </v>
      </c>
      <c r="F209" t="str">
        <f>CLEAN("$500,000 - $749,999      ")</f>
        <v xml:space="preserve">$500,000 - $749,999      </v>
      </c>
      <c r="G209" t="str">
        <f>CLEAN("LET")</f>
        <v>LET</v>
      </c>
      <c r="H209" t="str">
        <f>CLEAN("LET CONSTRUCTION         ")</f>
        <v xml:space="preserve">LET CONSTRUCTION         </v>
      </c>
      <c r="I209" t="str">
        <f>CLEAN("CONST/RECONSTRUCT                  ")</f>
        <v xml:space="preserve">CONST/RECONSTRUCT                  </v>
      </c>
      <c r="J209" t="str">
        <f>CLEAN("STH 023")</f>
        <v>STH 023</v>
      </c>
      <c r="K209" t="str">
        <f>CLEAN("GREEN LAKE                    ")</f>
        <v xml:space="preserve">GREEN LAKE                    </v>
      </c>
      <c r="L209" t="str">
        <f>CLEAN("PRINCETON - RIPON                  ")</f>
        <v xml:space="preserve">PRINCETON - RIPON                  </v>
      </c>
      <c r="M209" t="str">
        <f>CLEAN("STH 73/PYE ALLEY ROAD INTERSECTION ")</f>
        <v xml:space="preserve">STH 73/PYE ALLEY ROAD INTERSECTION </v>
      </c>
      <c r="N209">
        <v>5.7000000000000002E-2</v>
      </c>
      <c r="O209" t="str">
        <f>CLEAN("6640-00-70")</f>
        <v>6640-00-70</v>
      </c>
      <c r="P20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10" spans="1:16" x14ac:dyDescent="0.25">
      <c r="A210" t="str">
        <f t="shared" si="75"/>
        <v>10</v>
      </c>
      <c r="B210" t="str">
        <f t="shared" ref="B210:B219" si="83">CLEAN("23")</f>
        <v>23</v>
      </c>
      <c r="C210" s="1">
        <v>45590</v>
      </c>
      <c r="D210" t="str">
        <f>CLEAN("1440-41-40")</f>
        <v>1440-41-40</v>
      </c>
      <c r="E210" t="str">
        <f t="shared" si="79"/>
        <v xml:space="preserve">303  </v>
      </c>
      <c r="F210" t="str">
        <f>CLEAN("$0 - $99,999             ")</f>
        <v xml:space="preserve">$0 - $99,999             </v>
      </c>
      <c r="G210" t="str">
        <f>CLEAN("UTL")</f>
        <v>UTL</v>
      </c>
      <c r="H210" t="str">
        <f>CLEAN("NONLET CONSTR/REAL ESTATE")</f>
        <v>NONLET CONSTR/REAL ESTATE</v>
      </c>
      <c r="I210" t="str">
        <f>CLEAN("UTL RELOCATION                     ")</f>
        <v xml:space="preserve">UTL RELOCATION                     </v>
      </c>
      <c r="J210" t="str">
        <f>CLEAN("STH 023")</f>
        <v>STH 023</v>
      </c>
      <c r="K210" t="str">
        <f>CLEAN("SHEBOYGAN                     ")</f>
        <v xml:space="preserve">SHEBOYGAN                     </v>
      </c>
      <c r="L210" t="str">
        <f>CLEAN("FOND DU LAC - SHEBOYGAN            ")</f>
        <v xml:space="preserve">FOND DU LAC - SHEBOYGAN            </v>
      </c>
      <c r="M210" t="str">
        <f>CLEAN("CTH P - STH 32                     ")</f>
        <v xml:space="preserve">CTH P - STH 32                     </v>
      </c>
      <c r="N210">
        <v>10.53</v>
      </c>
      <c r="O210" t="str">
        <f t="shared" ref="O210:O224" si="84">CLEAN("          ")</f>
        <v xml:space="preserve">          </v>
      </c>
      <c r="P21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1" spans="1:16" x14ac:dyDescent="0.25">
      <c r="A211" t="str">
        <f t="shared" si="75"/>
        <v>10</v>
      </c>
      <c r="B211" t="str">
        <f t="shared" si="83"/>
        <v>23</v>
      </c>
      <c r="C211" s="1">
        <v>45316</v>
      </c>
      <c r="D211" t="str">
        <f>CLEAN("1450-19-51")</f>
        <v>1450-19-51</v>
      </c>
      <c r="E211" t="str">
        <f>CLEAN("207  ")</f>
        <v xml:space="preserve">207  </v>
      </c>
      <c r="F211" t="str">
        <f>CLEAN("$100,000-$249,999        ")</f>
        <v xml:space="preserve">$100,000-$249,999        </v>
      </c>
      <c r="G211" t="str">
        <f>CLEAN("R/R")</f>
        <v>R/R</v>
      </c>
      <c r="H211" t="str">
        <f>CLEAN("NONLET CONSTR/REAL ESTATE")</f>
        <v>NONLET CONSTR/REAL ESTATE</v>
      </c>
      <c r="I211" t="str">
        <f>CLEAN("CONST/RR CROSSING REPAIR           ")</f>
        <v xml:space="preserve">CONST/RR CROSSING REPAIR           </v>
      </c>
      <c r="J211" t="str">
        <f>CLEAN("USH 141")</f>
        <v>USH 141</v>
      </c>
      <c r="K211" t="str">
        <f>CLEAN("BROWN                         ")</f>
        <v xml:space="preserve">BROWN                         </v>
      </c>
      <c r="L211" t="str">
        <f>CLEAN("C GREEN BAY, FOXY RR XING SURFACE  ")</f>
        <v xml:space="preserve">C GREEN BAY, FOXY RR XING SURFACE  </v>
      </c>
      <c r="M211" t="str">
        <f>CLEAN("181505E, DENMARK SPUR MP 109.28    ")</f>
        <v xml:space="preserve">181505E, DENMARK SPUR MP 109.28    </v>
      </c>
      <c r="N211">
        <v>3.0000000000000001E-3</v>
      </c>
      <c r="O211" t="str">
        <f t="shared" si="84"/>
        <v xml:space="preserve">          </v>
      </c>
      <c r="P211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212" spans="1:16" x14ac:dyDescent="0.25">
      <c r="A212" t="str">
        <f t="shared" si="75"/>
        <v>10</v>
      </c>
      <c r="B212" t="str">
        <f t="shared" si="83"/>
        <v>23</v>
      </c>
      <c r="C212" s="1">
        <v>45316</v>
      </c>
      <c r="D212" t="str">
        <f>CLEAN("1450-23-70")</f>
        <v>1450-23-70</v>
      </c>
      <c r="E212" t="str">
        <f>CLEAN("205  ")</f>
        <v xml:space="preserve">205  </v>
      </c>
      <c r="F212" t="str">
        <f>CLEAN("$1,000,000 - $1,999,999  ")</f>
        <v xml:space="preserve">$1,000,000 - $1,999,999  </v>
      </c>
      <c r="G212" t="str">
        <f>CLEAN("MIS")</f>
        <v>MIS</v>
      </c>
      <c r="H212" t="str">
        <f>CLEAN("NONLET CONSTR/REAL ESTATE")</f>
        <v>NONLET CONSTR/REAL ESTATE</v>
      </c>
      <c r="I212" t="str">
        <f>CLEAN("CONST/MISC/B05-0311                ")</f>
        <v xml:space="preserve">CONST/MISC/B05-0311                </v>
      </c>
      <c r="J212" t="str">
        <f>CLEAN("USH 141")</f>
        <v>USH 141</v>
      </c>
      <c r="K212" t="str">
        <f>CLEAN("BROWN                         ")</f>
        <v xml:space="preserve">BROWN                         </v>
      </c>
      <c r="L212" t="str">
        <f>CLEAN("C GREEN BAY, MAIN STREET           ")</f>
        <v xml:space="preserve">C GREEN BAY, MAIN STREET           </v>
      </c>
      <c r="M212" t="str">
        <f>CLEAN("RAY NITSCHKE BRIDGE                ")</f>
        <v xml:space="preserve">RAY NITSCHKE BRIDGE                </v>
      </c>
      <c r="N212">
        <v>0</v>
      </c>
      <c r="O212" t="str">
        <f t="shared" si="84"/>
        <v xml:space="preserve">          </v>
      </c>
      <c r="P21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213" spans="1:16" x14ac:dyDescent="0.25">
      <c r="A213" t="str">
        <f t="shared" si="75"/>
        <v>10</v>
      </c>
      <c r="B213" t="str">
        <f t="shared" si="83"/>
        <v>23</v>
      </c>
      <c r="C213" s="1">
        <v>45285</v>
      </c>
      <c r="D213" t="str">
        <f>CLEAN("1470-27-40")</f>
        <v>1470-27-40</v>
      </c>
      <c r="E213" t="str">
        <f t="shared" ref="E213:E218" si="85">CLEAN("303  ")</f>
        <v xml:space="preserve">303  </v>
      </c>
      <c r="F213" t="str">
        <f>CLEAN("$0 - $99,999             ")</f>
        <v xml:space="preserve">$0 - $99,999             </v>
      </c>
      <c r="G213" t="str">
        <f>CLEAN("UTL")</f>
        <v>UTL</v>
      </c>
      <c r="H213" t="str">
        <f>CLEAN("NONLET CONSTR/REAL ESTATE")</f>
        <v>NONLET CONSTR/REAL ESTATE</v>
      </c>
      <c r="I213" t="str">
        <f>CLEAN("UTL RELOCATION OPS/RESURF          ")</f>
        <v xml:space="preserve">UTL RELOCATION OPS/RESURF          </v>
      </c>
      <c r="J213" t="str">
        <f>CLEAN("STH 042")</f>
        <v>STH 042</v>
      </c>
      <c r="K213" t="str">
        <f>CLEAN("MANITOWOC                     ")</f>
        <v xml:space="preserve">MANITOWOC                     </v>
      </c>
      <c r="L213" t="str">
        <f>CLEAN("MANITOWOC-TWO RIVERS               ")</f>
        <v xml:space="preserve">MANITOWOC-TWO RIVERS               </v>
      </c>
      <c r="M213" t="str">
        <f>CLEAN("E MAGNOLIA AVE-12TH STREET         ")</f>
        <v xml:space="preserve">E MAGNOLIA AVE-12TH STREET         </v>
      </c>
      <c r="N213">
        <v>3.95</v>
      </c>
      <c r="O213" t="str">
        <f t="shared" si="84"/>
        <v xml:space="preserve">          </v>
      </c>
      <c r="P21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4" spans="1:16" x14ac:dyDescent="0.25">
      <c r="A214" t="str">
        <f t="shared" si="75"/>
        <v>10</v>
      </c>
      <c r="B214" t="str">
        <f t="shared" si="83"/>
        <v>23</v>
      </c>
      <c r="C214" s="1">
        <v>45272</v>
      </c>
      <c r="D214" t="str">
        <f>CLEAN("1480-27-71")</f>
        <v>1480-27-71</v>
      </c>
      <c r="E214" t="str">
        <f t="shared" si="85"/>
        <v xml:space="preserve">303  </v>
      </c>
      <c r="F214" t="str">
        <f>CLEAN("$7,000,000 - $7,999,999  ")</f>
        <v xml:space="preserve">$7,000,000 - $7,999,999  </v>
      </c>
      <c r="G214" t="str">
        <f>CLEAN("LET")</f>
        <v>LET</v>
      </c>
      <c r="H214" t="str">
        <f>CLEAN("LET CONSTRUCTION         ")</f>
        <v xml:space="preserve">LET CONSTRUCTION         </v>
      </c>
      <c r="I214" t="str">
        <f>CLEAN("CONST OPS/RESURFACE ASPHALT PAVE   ")</f>
        <v xml:space="preserve">CONST OPS/RESURFACE ASPHALT PAVE   </v>
      </c>
      <c r="J214" t="str">
        <f>CLEAN("STH 054")</f>
        <v>STH 054</v>
      </c>
      <c r="K214" t="str">
        <f>CLEAN("BROWN                         ")</f>
        <v xml:space="preserve">BROWN                         </v>
      </c>
      <c r="L214" t="str">
        <f>CLEAN("GREEN BAY-LUXEMBURG                ")</f>
        <v xml:space="preserve">GREEN BAY-LUXEMBURG                </v>
      </c>
      <c r="M214" t="str">
        <f>CLEAN("UNIVERSITY WAY-STH57               ")</f>
        <v xml:space="preserve">UNIVERSITY WAY-STH57               </v>
      </c>
      <c r="N214">
        <v>4.3979999999999997</v>
      </c>
      <c r="O214" t="str">
        <f t="shared" si="84"/>
        <v xml:space="preserve">          </v>
      </c>
      <c r="P21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5" spans="1:16" x14ac:dyDescent="0.25">
      <c r="A215" t="str">
        <f t="shared" si="75"/>
        <v>10</v>
      </c>
      <c r="B215" t="str">
        <f t="shared" si="83"/>
        <v>23</v>
      </c>
      <c r="C215" s="1">
        <v>45272</v>
      </c>
      <c r="D215" t="str">
        <f>CLEAN("1500-33-71")</f>
        <v>1500-33-71</v>
      </c>
      <c r="E215" t="str">
        <f t="shared" si="85"/>
        <v xml:space="preserve">303  </v>
      </c>
      <c r="F215" t="str">
        <f>CLEAN("$4,000,000 - $4,999,999  ")</f>
        <v xml:space="preserve">$4,000,000 - $4,999,999  </v>
      </c>
      <c r="G215" t="str">
        <f>CLEAN("LET")</f>
        <v>LET</v>
      </c>
      <c r="H215" t="str">
        <f>CLEAN("LET CONSTRUCTION         ")</f>
        <v xml:space="preserve">LET CONSTRUCTION         </v>
      </c>
      <c r="I215" t="str">
        <f>CLEAN("CONST/RECONST PASSING LANE         ")</f>
        <v xml:space="preserve">CONST/RECONST PASSING LANE         </v>
      </c>
      <c r="J215" t="str">
        <f>CLEAN("USH 010")</f>
        <v>USH 010</v>
      </c>
      <c r="K215" t="str">
        <f>CLEAN("MANITOWOC                     ")</f>
        <v xml:space="preserve">MANITOWOC                     </v>
      </c>
      <c r="L215" t="str">
        <f>CLEAN("REEDSVILLE - MANITOWOC             ")</f>
        <v xml:space="preserve">REEDSVILLE - MANITOWOC             </v>
      </c>
      <c r="M215" t="str">
        <f>CLEAN("EAST VILLAGE LIMITS - BRANCH RIVER ")</f>
        <v xml:space="preserve">EAST VILLAGE LIMITS - BRANCH RIVER </v>
      </c>
      <c r="N215">
        <v>3.617</v>
      </c>
      <c r="O215" t="str">
        <f t="shared" si="84"/>
        <v xml:space="preserve">          </v>
      </c>
      <c r="P215" t="str">
        <f>CLEAN("PASSING LANE PROGRAM                                                                                ")</f>
        <v xml:space="preserve">PASSING LANE PROGRAM                                                                                </v>
      </c>
    </row>
    <row r="216" spans="1:16" x14ac:dyDescent="0.25">
      <c r="A216" t="str">
        <f t="shared" si="75"/>
        <v>10</v>
      </c>
      <c r="B216" t="str">
        <f t="shared" si="83"/>
        <v>23</v>
      </c>
      <c r="C216" s="1">
        <v>45316</v>
      </c>
      <c r="D216" t="str">
        <f>CLEAN("1500-68-21")</f>
        <v>1500-68-21</v>
      </c>
      <c r="E216" t="str">
        <f t="shared" si="85"/>
        <v xml:space="preserve">303  </v>
      </c>
      <c r="F216" t="str">
        <f>CLEAN("$0 - $99,999             ")</f>
        <v xml:space="preserve">$0 - $99,999             </v>
      </c>
      <c r="G216" t="str">
        <f>CLEAN("R/E")</f>
        <v>R/E</v>
      </c>
      <c r="H216" t="str">
        <f>CLEAN("NONLET CONSTR/REAL ESTATE")</f>
        <v>NONLET CONSTR/REAL ESTATE</v>
      </c>
      <c r="I216" t="str">
        <f>CLEAN("REAL ESTATE/RIGHT OF WAY           ")</f>
        <v xml:space="preserve">REAL ESTATE/RIGHT OF WAY           </v>
      </c>
      <c r="J216" t="str">
        <f>CLEAN("USH 010")</f>
        <v>USH 010</v>
      </c>
      <c r="K216" t="str">
        <f>CLEAN("MANITOWOC                     ")</f>
        <v xml:space="preserve">MANITOWOC                     </v>
      </c>
      <c r="L216" t="str">
        <f>CLEAN("BRILLION-REEDSVILLE                ")</f>
        <v xml:space="preserve">BRILLION-REEDSVILLE                </v>
      </c>
      <c r="M216" t="str">
        <f>CLEAN("BRILLION ECPL-CTH W                ")</f>
        <v xml:space="preserve">BRILLION ECPL-CTH W                </v>
      </c>
      <c r="N216">
        <v>5.0439999999999996</v>
      </c>
      <c r="O216" t="str">
        <f t="shared" si="84"/>
        <v xml:space="preserve">          </v>
      </c>
      <c r="P2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7" spans="1:16" x14ac:dyDescent="0.25">
      <c r="A217" t="str">
        <f t="shared" si="75"/>
        <v>10</v>
      </c>
      <c r="B217" t="str">
        <f t="shared" si="83"/>
        <v>23</v>
      </c>
      <c r="C217" s="1">
        <v>45651</v>
      </c>
      <c r="D217" t="str">
        <f>CLEAN("1500-68-40")</f>
        <v>1500-68-40</v>
      </c>
      <c r="E217" t="str">
        <f t="shared" si="85"/>
        <v xml:space="preserve">303  </v>
      </c>
      <c r="F217" t="str">
        <f>CLEAN("$0 - $99,999             ")</f>
        <v xml:space="preserve">$0 - $99,999             </v>
      </c>
      <c r="G217" t="str">
        <f>CLEAN("UTL")</f>
        <v>UTL</v>
      </c>
      <c r="H217" t="str">
        <f>CLEAN("NONLET CONSTR/REAL ESTATE")</f>
        <v>NONLET CONSTR/REAL ESTATE</v>
      </c>
      <c r="I217" t="str">
        <f>CLEAN("UTL RELOCATION                     ")</f>
        <v xml:space="preserve">UTL RELOCATION                     </v>
      </c>
      <c r="J217" t="str">
        <f>CLEAN("USH 010")</f>
        <v>USH 010</v>
      </c>
      <c r="K217" t="str">
        <f>CLEAN("MANITOWOC                     ")</f>
        <v xml:space="preserve">MANITOWOC                     </v>
      </c>
      <c r="L217" t="str">
        <f>CLEAN("BRILLION-REEDSVILLE                ")</f>
        <v xml:space="preserve">BRILLION-REEDSVILLE                </v>
      </c>
      <c r="M217" t="str">
        <f>CLEAN("BRILLION ECPL-CTH W                ")</f>
        <v xml:space="preserve">BRILLION ECPL-CTH W                </v>
      </c>
      <c r="N217">
        <v>5.0439999999999996</v>
      </c>
      <c r="O217" t="str">
        <f t="shared" si="84"/>
        <v xml:space="preserve">          </v>
      </c>
      <c r="P2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8" spans="1:16" x14ac:dyDescent="0.25">
      <c r="A218" t="str">
        <f t="shared" si="75"/>
        <v>10</v>
      </c>
      <c r="B218" t="str">
        <f t="shared" si="83"/>
        <v>23</v>
      </c>
      <c r="C218" s="1">
        <v>45529</v>
      </c>
      <c r="D218" t="str">
        <f>CLEAN("1500-76-21")</f>
        <v>1500-76-21</v>
      </c>
      <c r="E218" t="str">
        <f t="shared" si="85"/>
        <v xml:space="preserve">303  </v>
      </c>
      <c r="F218" t="str">
        <f>CLEAN("$0 - $99,999             ")</f>
        <v xml:space="preserve">$0 - $99,999             </v>
      </c>
      <c r="G218" t="str">
        <f>CLEAN("R/E")</f>
        <v>R/E</v>
      </c>
      <c r="H218" t="str">
        <f>CLEAN("NONLET CONSTR/REAL ESTATE")</f>
        <v>NONLET CONSTR/REAL ESTATE</v>
      </c>
      <c r="I218" t="str">
        <f>CLEAN("RE OPS/RE ACQUISITION              ")</f>
        <v xml:space="preserve">RE OPS/RE ACQUISITION              </v>
      </c>
      <c r="J218" t="str">
        <f>CLEAN("USH 010")</f>
        <v>USH 010</v>
      </c>
      <c r="K218" t="str">
        <f>CLEAN("CALUMET                       ")</f>
        <v xml:space="preserve">CALUMET                       </v>
      </c>
      <c r="L218" t="str">
        <f>CLEAN("APPLETON - FOREST JUNCTION         ")</f>
        <v xml:space="preserve">APPLETON - FOREST JUNCTION         </v>
      </c>
      <c r="M218" t="str">
        <f>CLEAN("N MARX RD/CTH D INTERSECTION       ")</f>
        <v xml:space="preserve">N MARX RD/CTH D INTERSECTION       </v>
      </c>
      <c r="N218">
        <v>8.5999999999999993E-2</v>
      </c>
      <c r="O218" t="str">
        <f t="shared" si="84"/>
        <v xml:space="preserve">          </v>
      </c>
      <c r="P21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9" spans="1:16" x14ac:dyDescent="0.25">
      <c r="A219" t="str">
        <f t="shared" si="75"/>
        <v>10</v>
      </c>
      <c r="B219" t="str">
        <f t="shared" si="83"/>
        <v>23</v>
      </c>
      <c r="C219" s="1">
        <v>45407</v>
      </c>
      <c r="D219" t="str">
        <f>CLEAN("1500-77-70")</f>
        <v>1500-77-70</v>
      </c>
      <c r="E219" t="str">
        <f>CLEAN("206  ")</f>
        <v xml:space="preserve">206  </v>
      </c>
      <c r="F219" t="str">
        <f>CLEAN("$0 - $99,999             ")</f>
        <v xml:space="preserve">$0 - $99,999             </v>
      </c>
      <c r="G219" t="str">
        <f>CLEAN("MIS")</f>
        <v>MIS</v>
      </c>
      <c r="H219" t="str">
        <f>CLEAN("NONLET CONSTR/REAL ESTATE")</f>
        <v>NONLET CONSTR/REAL ESTATE</v>
      </c>
      <c r="I219" t="str">
        <f>CLEAN("CONST/CRP/MISC                     ")</f>
        <v xml:space="preserve">CONST/CRP/MISC                     </v>
      </c>
      <c r="J219" t="str">
        <f>CLEAN("LOC STR")</f>
        <v>LOC STR</v>
      </c>
      <c r="K219" t="str">
        <f>CLEAN("OUTAGAMIE                     ")</f>
        <v xml:space="preserve">OUTAGAMIE                     </v>
      </c>
      <c r="L219" t="str">
        <f>CLEAN("OUTAGAMIE CO, SMART TRAFFIC CONTROL")</f>
        <v>OUTAGAMIE CO, SMART TRAFFIC CONTROL</v>
      </c>
      <c r="M219" t="str">
        <f>CLEAN("OUTAGAMIE CO, VARIOUS ST. LOCATIONS")</f>
        <v>OUTAGAMIE CO, VARIOUS ST. LOCATIONS</v>
      </c>
      <c r="N219">
        <v>7.0000000000000001E-3</v>
      </c>
      <c r="O219" t="str">
        <f t="shared" si="84"/>
        <v xml:space="preserve">          </v>
      </c>
      <c r="P219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220" spans="1:16" x14ac:dyDescent="0.25">
      <c r="A220" t="str">
        <f t="shared" si="75"/>
        <v>10</v>
      </c>
      <c r="B220" t="str">
        <f>CLEAN("24")</f>
        <v>24</v>
      </c>
      <c r="C220" s="1">
        <v>45560</v>
      </c>
      <c r="D220" t="str">
        <f>CLEAN("1520-00-25")</f>
        <v>1520-00-25</v>
      </c>
      <c r="E220" t="str">
        <f t="shared" ref="E220:E251" si="86">CLEAN("303  ")</f>
        <v xml:space="preserve">303  </v>
      </c>
      <c r="F220" t="str">
        <f>CLEAN("$0 - $99,999             ")</f>
        <v xml:space="preserve">$0 - $99,999             </v>
      </c>
      <c r="G220" t="str">
        <f>CLEAN("R/E")</f>
        <v>R/E</v>
      </c>
      <c r="H220" t="str">
        <f>CLEAN("NONLET CONSTR/REAL ESTATE")</f>
        <v>NONLET CONSTR/REAL ESTATE</v>
      </c>
      <c r="I220" t="str">
        <f>CLEAN("REAL ESTATE/PVRPLA                 ")</f>
        <v xml:space="preserve">REAL ESTATE/PVRPLA                 </v>
      </c>
      <c r="J220" t="str">
        <f>CLEAN("STH 073")</f>
        <v>STH 073</v>
      </c>
      <c r="K220" t="str">
        <f>CLEAN("WOOD                          ")</f>
        <v xml:space="preserve">WOOD                          </v>
      </c>
      <c r="L220" t="str">
        <f>CLEAN("C OF PITTSVILLE                    ")</f>
        <v xml:space="preserve">C OF PITTSVILLE                    </v>
      </c>
      <c r="M220" t="str">
        <f>CLEAN("STH 73 AND STH 80 INTERSECTION     ")</f>
        <v xml:space="preserve">STH 73 AND STH 80 INTERSECTION     </v>
      </c>
      <c r="N220">
        <v>3.2000000000000001E-2</v>
      </c>
      <c r="O220" t="str">
        <f t="shared" si="84"/>
        <v xml:space="preserve">          </v>
      </c>
      <c r="P2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1" spans="1:16" x14ac:dyDescent="0.25">
      <c r="A221" t="str">
        <f t="shared" si="75"/>
        <v>10</v>
      </c>
      <c r="B221" t="str">
        <f>CLEAN("24")</f>
        <v>24</v>
      </c>
      <c r="C221" s="1">
        <v>45545</v>
      </c>
      <c r="D221" t="str">
        <f>CLEAN("1520-00-77")</f>
        <v>1520-00-77</v>
      </c>
      <c r="E221" t="str">
        <f t="shared" si="86"/>
        <v xml:space="preserve">303  </v>
      </c>
      <c r="F221" t="str">
        <f>CLEAN("$4,000,000 - $4,999,999  ")</f>
        <v xml:space="preserve">$4,000,000 - $4,999,999  </v>
      </c>
      <c r="G221" t="str">
        <f>CLEAN("LET")</f>
        <v>LET</v>
      </c>
      <c r="H221" t="str">
        <f>CLEAN("LET CONSTRUCTION         ")</f>
        <v xml:space="preserve">LET CONSTRUCTION         </v>
      </c>
      <c r="I221" t="str">
        <f>CLEAN("CONST/PAVEMENT REPLACEMENT         ")</f>
        <v xml:space="preserve">CONST/PAVEMENT REPLACEMENT         </v>
      </c>
      <c r="J221" t="str">
        <f>CLEAN("STH 073")</f>
        <v>STH 073</v>
      </c>
      <c r="K221" t="str">
        <f>CLEAN("WOOD                          ")</f>
        <v xml:space="preserve">WOOD                          </v>
      </c>
      <c r="L221" t="str">
        <f>CLEAN("WISCONSIN RAPIDS - PITTSVILLE      ")</f>
        <v xml:space="preserve">WISCONSIN RAPIDS - PITTSVILLE      </v>
      </c>
      <c r="M221" t="str">
        <f>CLEAN("INDUSTRIAL STREET TO STH 186       ")</f>
        <v xml:space="preserve">INDUSTRIAL STREET TO STH 186       </v>
      </c>
      <c r="N221">
        <v>5.86</v>
      </c>
      <c r="O221" t="str">
        <f t="shared" si="84"/>
        <v xml:space="preserve">          </v>
      </c>
      <c r="P22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2" spans="1:16" x14ac:dyDescent="0.25">
      <c r="A222" t="str">
        <f t="shared" si="75"/>
        <v>10</v>
      </c>
      <c r="B222" t="str">
        <f>CLEAN("24")</f>
        <v>24</v>
      </c>
      <c r="C222" s="1">
        <v>45529</v>
      </c>
      <c r="D222" t="str">
        <f>CLEAN("1520-01-51")</f>
        <v>1520-01-51</v>
      </c>
      <c r="E222" t="str">
        <f t="shared" si="86"/>
        <v xml:space="preserve">303  </v>
      </c>
      <c r="F222" t="str">
        <f>CLEAN("$100,000-$249,999        ")</f>
        <v xml:space="preserve">$100,000-$249,999        </v>
      </c>
      <c r="G222" t="str">
        <f>CLEAN("R/R")</f>
        <v>R/R</v>
      </c>
      <c r="H222" t="str">
        <f>CLEAN("NONLET CONSTR/REAL ESTATE")</f>
        <v>NONLET CONSTR/REAL ESTATE</v>
      </c>
      <c r="I222" t="str">
        <f>CLEAN("BIRON WCL XING SURFACE 281612V     ")</f>
        <v xml:space="preserve">BIRON WCL XING SURFACE 281612V     </v>
      </c>
      <c r="J222" t="str">
        <f>CLEAN("STH 054")</f>
        <v>STH 054</v>
      </c>
      <c r="K222" t="str">
        <f>CLEAN("WOOD                          ")</f>
        <v xml:space="preserve">WOOD                          </v>
      </c>
      <c r="L222" t="str">
        <f>CLEAN("WISCONSIN RAPIDS - PLOVER          ")</f>
        <v xml:space="preserve">WISCONSIN RAPIDS - PLOVER          </v>
      </c>
      <c r="M222" t="str">
        <f>CLEAN("BIRON/PLOVER XING APPROACH REPAIRS ")</f>
        <v xml:space="preserve">BIRON/PLOVER XING APPROACH REPAIRS </v>
      </c>
      <c r="N222">
        <v>0</v>
      </c>
      <c r="O222" t="str">
        <f t="shared" si="84"/>
        <v xml:space="preserve">          </v>
      </c>
      <c r="P2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3" spans="1:16" x14ac:dyDescent="0.25">
      <c r="A223" t="str">
        <f t="shared" si="75"/>
        <v>10</v>
      </c>
      <c r="B223" t="str">
        <f>CLEAN("24")</f>
        <v>24</v>
      </c>
      <c r="C223" s="1">
        <v>45529</v>
      </c>
      <c r="D223" t="str">
        <f>CLEAN("1520-01-52")</f>
        <v>1520-01-52</v>
      </c>
      <c r="E223" t="str">
        <f t="shared" si="86"/>
        <v xml:space="preserve">303  </v>
      </c>
      <c r="F223" t="str">
        <f>CLEAN("$250,000 - $499,999      ")</f>
        <v xml:space="preserve">$250,000 - $499,999      </v>
      </c>
      <c r="G223" t="str">
        <f>CLEAN("R/R")</f>
        <v>R/R</v>
      </c>
      <c r="H223" t="str">
        <f>CLEAN("NONLET CONSTR/REAL ESTATE")</f>
        <v>NONLET CONSTR/REAL ESTATE</v>
      </c>
      <c r="I223" t="str">
        <f>CLEAN("BIRON WCL XING SIGNALS 281612V     ")</f>
        <v xml:space="preserve">BIRON WCL XING SIGNALS 281612V     </v>
      </c>
      <c r="J223" t="str">
        <f>CLEAN("STH 054")</f>
        <v>STH 054</v>
      </c>
      <c r="K223" t="str">
        <f>CLEAN("WOOD                          ")</f>
        <v xml:space="preserve">WOOD                          </v>
      </c>
      <c r="L223" t="str">
        <f>CLEAN("WISCONSIN RAPIDS - PLOVER          ")</f>
        <v xml:space="preserve">WISCONSIN RAPIDS - PLOVER          </v>
      </c>
      <c r="M223" t="str">
        <f>CLEAN("BIRON/PLOVER XING APPROACH REPAIRS ")</f>
        <v xml:space="preserve">BIRON/PLOVER XING APPROACH REPAIRS </v>
      </c>
      <c r="N223">
        <v>0</v>
      </c>
      <c r="O223" t="str">
        <f t="shared" si="84"/>
        <v xml:space="preserve">          </v>
      </c>
      <c r="P2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4" spans="1:16" x14ac:dyDescent="0.25">
      <c r="A224" t="str">
        <f t="shared" si="75"/>
        <v>10</v>
      </c>
      <c r="B224" t="str">
        <f>CLEAN("24")</f>
        <v>24</v>
      </c>
      <c r="C224" s="1">
        <v>45529</v>
      </c>
      <c r="D224" t="str">
        <f>CLEAN("1520-01-53")</f>
        <v>1520-01-53</v>
      </c>
      <c r="E224" t="str">
        <f t="shared" si="86"/>
        <v xml:space="preserve">303  </v>
      </c>
      <c r="F224" t="str">
        <f>CLEAN("$250,000 - $499,999      ")</f>
        <v xml:space="preserve">$250,000 - $499,999      </v>
      </c>
      <c r="G224" t="str">
        <f>CLEAN("R/R")</f>
        <v>R/R</v>
      </c>
      <c r="H224" t="str">
        <f>CLEAN("NONLET CONSTR/REAL ESTATE")</f>
        <v>NONLET CONSTR/REAL ESTATE</v>
      </c>
      <c r="I224" t="str">
        <f>CLEAN("PLOVER WCL XING SURFACE 693765M    ")</f>
        <v xml:space="preserve">PLOVER WCL XING SURFACE 693765M    </v>
      </c>
      <c r="J224" t="str">
        <f>CLEAN("STH 054")</f>
        <v>STH 054</v>
      </c>
      <c r="K224" t="str">
        <f>CLEAN("PORTAGE                       ")</f>
        <v xml:space="preserve">PORTAGE                       </v>
      </c>
      <c r="L224" t="str">
        <f>CLEAN("WISCONSIN RAPIDS - PLOVER          ")</f>
        <v xml:space="preserve">WISCONSIN RAPIDS - PLOVER          </v>
      </c>
      <c r="M224" t="str">
        <f>CLEAN("BIRON/PLOVER XING APPROACH REPAIRS ")</f>
        <v xml:space="preserve">BIRON/PLOVER XING APPROACH REPAIRS </v>
      </c>
      <c r="N224">
        <v>0</v>
      </c>
      <c r="O224" t="str">
        <f t="shared" si="84"/>
        <v xml:space="preserve">          </v>
      </c>
      <c r="P22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5" spans="1:16" x14ac:dyDescent="0.25">
      <c r="A225" t="str">
        <f t="shared" si="75"/>
        <v>10</v>
      </c>
      <c r="B225" t="str">
        <f t="shared" ref="B225:B257" si="87">CLEAN("25")</f>
        <v>25</v>
      </c>
      <c r="C225" s="1">
        <v>45272</v>
      </c>
      <c r="D225" t="str">
        <f>CLEAN("1530-00-79")</f>
        <v>1530-00-79</v>
      </c>
      <c r="E225" t="str">
        <f t="shared" si="86"/>
        <v xml:space="preserve">303  </v>
      </c>
      <c r="F225" t="str">
        <f>CLEAN("$1,000,000 - $1,999,999  ")</f>
        <v xml:space="preserve">$1,000,000 - $1,999,999  </v>
      </c>
      <c r="G225" t="str">
        <f>CLEAN("LET")</f>
        <v>LET</v>
      </c>
      <c r="H225" t="str">
        <f>CLEAN("LET CONSTRUCTION         ")</f>
        <v xml:space="preserve">LET CONSTRUCTION         </v>
      </c>
      <c r="I225" t="str">
        <f>CLEAN("CONSTR/CULVERT REPLACEMENT         ")</f>
        <v xml:space="preserve">CONSTR/CULVERT REPLACEMENT         </v>
      </c>
      <c r="J225" t="str">
        <f t="shared" ref="J225:J240" si="88">CLEAN("USH 010")</f>
        <v>USH 010</v>
      </c>
      <c r="K225" t="str">
        <f t="shared" ref="K225:K236" si="89">CLEAN("PIERCE                        ")</f>
        <v xml:space="preserve">PIERCE                        </v>
      </c>
      <c r="L225" t="str">
        <f>CLEAN("PRESCOTT - ELLSWORTH               ")</f>
        <v xml:space="preserve">PRESCOTT - ELLSWORTH               </v>
      </c>
      <c r="M225" t="str">
        <f>CLEAN("SPRING CR CULVERTS C-47-0060 &amp; 0061")</f>
        <v>SPRING CR CULVERTS C-47-0060 &amp; 0061</v>
      </c>
      <c r="N225">
        <v>0.13600000000000001</v>
      </c>
      <c r="O225" t="str">
        <f>CLEAN("1530-02-70")</f>
        <v>1530-02-70</v>
      </c>
      <c r="P225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26" spans="1:16" x14ac:dyDescent="0.25">
      <c r="A226" t="str">
        <f t="shared" si="75"/>
        <v>10</v>
      </c>
      <c r="B226" t="str">
        <f t="shared" si="87"/>
        <v>25</v>
      </c>
      <c r="C226" s="1">
        <v>45272</v>
      </c>
      <c r="D226" t="str">
        <f>CLEAN("1530-00-79")</f>
        <v>1530-00-79</v>
      </c>
      <c r="E226" t="str">
        <f t="shared" si="86"/>
        <v xml:space="preserve">303  </v>
      </c>
      <c r="F226" t="str">
        <f>CLEAN("$1,000,000 - $1,999,999  ")</f>
        <v xml:space="preserve">$1,000,000 - $1,999,999  </v>
      </c>
      <c r="G226" t="str">
        <f>CLEAN("LET")</f>
        <v>LET</v>
      </c>
      <c r="H226" t="str">
        <f>CLEAN("LET CONSTRUCTION         ")</f>
        <v xml:space="preserve">LET CONSTRUCTION         </v>
      </c>
      <c r="I226" t="str">
        <f>CLEAN("CONSTR/CULVERT REPLACEMENT         ")</f>
        <v xml:space="preserve">CONSTR/CULVERT REPLACEMENT         </v>
      </c>
      <c r="J226" t="str">
        <f t="shared" si="88"/>
        <v>USH 010</v>
      </c>
      <c r="K226" t="str">
        <f t="shared" si="89"/>
        <v xml:space="preserve">PIERCE                        </v>
      </c>
      <c r="L226" t="str">
        <f>CLEAN("PRESCOTT - ELLSWORTH               ")</f>
        <v xml:space="preserve">PRESCOTT - ELLSWORTH               </v>
      </c>
      <c r="M226" t="str">
        <f>CLEAN("SPRING CR CULVERTS C-47-0060 &amp; 0061")</f>
        <v>SPRING CR CULVERTS C-47-0060 &amp; 0061</v>
      </c>
      <c r="N226">
        <v>0.13600000000000001</v>
      </c>
      <c r="O226" t="str">
        <f>CLEAN("1530-02-80")</f>
        <v>1530-02-80</v>
      </c>
      <c r="P22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27" spans="1:16" x14ac:dyDescent="0.25">
      <c r="A227" t="str">
        <f t="shared" si="75"/>
        <v>10</v>
      </c>
      <c r="B227" t="str">
        <f t="shared" si="87"/>
        <v>25</v>
      </c>
      <c r="C227" s="1">
        <v>45608</v>
      </c>
      <c r="D227" t="str">
        <f>CLEAN("1530-00-81")</f>
        <v>1530-00-81</v>
      </c>
      <c r="E227" t="str">
        <f t="shared" si="86"/>
        <v xml:space="preserve">303  </v>
      </c>
      <c r="F227" t="str">
        <f>CLEAN("$1,000,000 - $1,999,999  ")</f>
        <v xml:space="preserve">$1,000,000 - $1,999,999  </v>
      </c>
      <c r="G227" t="str">
        <f>CLEAN("LET")</f>
        <v>LET</v>
      </c>
      <c r="H227" t="str">
        <f>CLEAN("LET CONSTRUCTION         ")</f>
        <v xml:space="preserve">LET CONSTRUCTION         </v>
      </c>
      <c r="I227" t="str">
        <f>CLEAN("CONSTR/SFTY/INTERSECTION MOD       ")</f>
        <v xml:space="preserve">CONSTR/SFTY/INTERSECTION MOD       </v>
      </c>
      <c r="J227" t="str">
        <f t="shared" si="88"/>
        <v>USH 010</v>
      </c>
      <c r="K227" t="str">
        <f t="shared" si="89"/>
        <v xml:space="preserve">PIERCE                        </v>
      </c>
      <c r="L227" t="str">
        <f>CLEAN("PRESCOTT - ELLSWORTH               ")</f>
        <v xml:space="preserve">PRESCOTT - ELLSWORTH               </v>
      </c>
      <c r="M227" t="str">
        <f>CLEAN("CTH E INTERSECTION                 ")</f>
        <v xml:space="preserve">CTH E INTERSECTION                 </v>
      </c>
      <c r="N227">
        <v>0.05</v>
      </c>
      <c r="O227" t="str">
        <f>CLEAN("          ")</f>
        <v xml:space="preserve">          </v>
      </c>
      <c r="P22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28" spans="1:16" x14ac:dyDescent="0.25">
      <c r="A228" t="str">
        <f t="shared" si="75"/>
        <v>10</v>
      </c>
      <c r="B228" t="str">
        <f t="shared" si="87"/>
        <v>25</v>
      </c>
      <c r="C228" s="1">
        <v>45608</v>
      </c>
      <c r="D228" t="str">
        <f>CLEAN("1530-00-81")</f>
        <v>1530-00-81</v>
      </c>
      <c r="E228" t="str">
        <f t="shared" si="86"/>
        <v xml:space="preserve">303  </v>
      </c>
      <c r="F228" t="str">
        <f>CLEAN("$1,000,000 - $1,999,999  ")</f>
        <v xml:space="preserve">$1,000,000 - $1,999,999  </v>
      </c>
      <c r="G228" t="str">
        <f>CLEAN("LET")</f>
        <v>LET</v>
      </c>
      <c r="H228" t="str">
        <f>CLEAN("LET CONSTRUCTION         ")</f>
        <v xml:space="preserve">LET CONSTRUCTION         </v>
      </c>
      <c r="I228" t="str">
        <f>CLEAN("CONSTR/SFTY/INTERSECTION MOD       ")</f>
        <v xml:space="preserve">CONSTR/SFTY/INTERSECTION MOD       </v>
      </c>
      <c r="J228" t="str">
        <f t="shared" si="88"/>
        <v>USH 010</v>
      </c>
      <c r="K228" t="str">
        <f t="shared" si="89"/>
        <v xml:space="preserve">PIERCE                        </v>
      </c>
      <c r="L228" t="str">
        <f>CLEAN("PRESCOTT - ELLSWORTH               ")</f>
        <v xml:space="preserve">PRESCOTT - ELLSWORTH               </v>
      </c>
      <c r="M228" t="str">
        <f>CLEAN("CTH E INTERSECTION                 ")</f>
        <v xml:space="preserve">CTH E INTERSECTION                 </v>
      </c>
      <c r="N228">
        <v>0.05</v>
      </c>
      <c r="O228" t="str">
        <f>CLEAN("          ")</f>
        <v xml:space="preserve">          </v>
      </c>
      <c r="P22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9" spans="1:16" x14ac:dyDescent="0.25">
      <c r="A229" t="str">
        <f t="shared" si="75"/>
        <v>10</v>
      </c>
      <c r="B229" t="str">
        <f t="shared" si="87"/>
        <v>25</v>
      </c>
      <c r="C229" s="1">
        <v>45316</v>
      </c>
      <c r="D229" t="str">
        <f>CLEAN("1530-01-26")</f>
        <v>1530-01-26</v>
      </c>
      <c r="E229" t="str">
        <f t="shared" si="86"/>
        <v xml:space="preserve">303  </v>
      </c>
      <c r="F229" t="str">
        <f>CLEAN("$0 - $99,999             ")</f>
        <v xml:space="preserve">$0 - $99,999             </v>
      </c>
      <c r="G229" t="str">
        <f>CLEAN("R/E")</f>
        <v>R/E</v>
      </c>
      <c r="H229" t="str">
        <f>CLEAN("NONLET CONSTR/REAL ESTATE")</f>
        <v>NONLET CONSTR/REAL ESTATE</v>
      </c>
      <c r="I229" t="str">
        <f>CLEAN("REAL ESTATE ACQUISITION            ")</f>
        <v xml:space="preserve">REAL ESTATE ACQUISITION            </v>
      </c>
      <c r="J229" t="str">
        <f t="shared" si="88"/>
        <v>USH 010</v>
      </c>
      <c r="K229" t="str">
        <f t="shared" si="89"/>
        <v xml:space="preserve">PIERCE                        </v>
      </c>
      <c r="L229" t="str">
        <f>CLEAN("ELLSWORTH - DURAND                 ")</f>
        <v xml:space="preserve">ELLSWORTH - DURAND                 </v>
      </c>
      <c r="M229" t="str">
        <f>CLEAN("CULVERTS C-47-0062 &amp; C-47-0236     ")</f>
        <v xml:space="preserve">CULVERTS C-47-0062 &amp; C-47-0236     </v>
      </c>
      <c r="N229">
        <v>4.8000000000000001E-2</v>
      </c>
      <c r="O229" t="str">
        <f>CLEAN("          ")</f>
        <v xml:space="preserve">          </v>
      </c>
      <c r="P22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30" spans="1:16" x14ac:dyDescent="0.25">
      <c r="A230" t="str">
        <f t="shared" si="75"/>
        <v>10</v>
      </c>
      <c r="B230" t="str">
        <f t="shared" si="87"/>
        <v>25</v>
      </c>
      <c r="C230" s="1">
        <v>45608</v>
      </c>
      <c r="D230" t="str">
        <f>CLEAN("1530-01-76")</f>
        <v>1530-01-76</v>
      </c>
      <c r="E230" t="str">
        <f t="shared" si="86"/>
        <v xml:space="preserve">303  </v>
      </c>
      <c r="F230" t="str">
        <f>CLEAN("$250,000 - $499,999      ")</f>
        <v xml:space="preserve">$250,000 - $499,999      </v>
      </c>
      <c r="G230" t="str">
        <f t="shared" ref="G230:G236" si="90">CLEAN("LET")</f>
        <v>LET</v>
      </c>
      <c r="H230" t="str">
        <f t="shared" ref="H230:H236" si="91">CLEAN("LET CONSTRUCTION         ")</f>
        <v xml:space="preserve">LET CONSTRUCTION         </v>
      </c>
      <c r="I230" t="str">
        <f>CLEAN("CONSTRUCTION/CULVERTS              ")</f>
        <v xml:space="preserve">CONSTRUCTION/CULVERTS              </v>
      </c>
      <c r="J230" t="str">
        <f t="shared" si="88"/>
        <v>USH 010</v>
      </c>
      <c r="K230" t="str">
        <f t="shared" si="89"/>
        <v xml:space="preserve">PIERCE                        </v>
      </c>
      <c r="L230" t="str">
        <f>CLEAN("ELLSWORTH - DURAND                 ")</f>
        <v xml:space="preserve">ELLSWORTH - DURAND                 </v>
      </c>
      <c r="M230" t="str">
        <f>CLEAN("CULVERTS C-47-0062 &amp; C-47-0236     ")</f>
        <v xml:space="preserve">CULVERTS C-47-0062 &amp; C-47-0236     </v>
      </c>
      <c r="N230">
        <v>4.8000000000000001E-2</v>
      </c>
      <c r="O230" t="str">
        <f>CLEAN("1540-00-73")</f>
        <v>1540-00-73</v>
      </c>
      <c r="P23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31" spans="1:16" x14ac:dyDescent="0.25">
      <c r="A231" t="str">
        <f t="shared" si="75"/>
        <v>10</v>
      </c>
      <c r="B231" t="str">
        <f t="shared" si="87"/>
        <v>25</v>
      </c>
      <c r="C231" s="1">
        <v>45272</v>
      </c>
      <c r="D231" t="str">
        <f>CLEAN("1530-02-70")</f>
        <v>1530-02-70</v>
      </c>
      <c r="E231" t="str">
        <f t="shared" si="86"/>
        <v xml:space="preserve">303  </v>
      </c>
      <c r="F231" t="str">
        <f>CLEAN("$13,000,000 - $13,999,999")</f>
        <v>$13,000,000 - $13,999,999</v>
      </c>
      <c r="G231" t="str">
        <f t="shared" si="90"/>
        <v>LET</v>
      </c>
      <c r="H231" t="str">
        <f t="shared" si="91"/>
        <v xml:space="preserve">LET CONSTRUCTION         </v>
      </c>
      <c r="I231" t="str">
        <f>CLEAN("CONSTRUCTION/RESURFACE             ")</f>
        <v xml:space="preserve">CONSTRUCTION/RESURFACE             </v>
      </c>
      <c r="J231" t="str">
        <f t="shared" si="88"/>
        <v>USH 010</v>
      </c>
      <c r="K231" t="str">
        <f t="shared" si="89"/>
        <v xml:space="preserve">PIERCE                        </v>
      </c>
      <c r="L231" t="str">
        <f t="shared" ref="L231:L236" si="92">CLEAN("PRESCOTT - ELLSWORTH               ")</f>
        <v xml:space="preserve">PRESCOTT - ELLSWORTH               </v>
      </c>
      <c r="M231" t="str">
        <f t="shared" ref="M231:M236" si="93">CLEAN("STH 29 TO SOUTH JUNCTION USH 63    ")</f>
        <v xml:space="preserve">STH 29 TO SOUTH JUNCTION USH 63    </v>
      </c>
      <c r="N231">
        <v>13.577999999999999</v>
      </c>
      <c r="O231" t="str">
        <f>CLEAN("1530-00-79")</f>
        <v>1530-00-79</v>
      </c>
      <c r="P2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2" spans="1:16" x14ac:dyDescent="0.25">
      <c r="A232" t="str">
        <f t="shared" si="75"/>
        <v>10</v>
      </c>
      <c r="B232" t="str">
        <f t="shared" si="87"/>
        <v>25</v>
      </c>
      <c r="C232" s="1">
        <v>45272</v>
      </c>
      <c r="D232" t="str">
        <f>CLEAN("1530-02-70")</f>
        <v>1530-02-70</v>
      </c>
      <c r="E232" t="str">
        <f t="shared" si="86"/>
        <v xml:space="preserve">303  </v>
      </c>
      <c r="F232" t="str">
        <f>CLEAN("$13,000,000 - $13,999,999")</f>
        <v>$13,000,000 - $13,999,999</v>
      </c>
      <c r="G232" t="str">
        <f t="shared" si="90"/>
        <v>LET</v>
      </c>
      <c r="H232" t="str">
        <f t="shared" si="91"/>
        <v xml:space="preserve">LET CONSTRUCTION         </v>
      </c>
      <c r="I232" t="str">
        <f>CLEAN("CONSTRUCTION/RESURFACE             ")</f>
        <v xml:space="preserve">CONSTRUCTION/RESURFACE             </v>
      </c>
      <c r="J232" t="str">
        <f t="shared" si="88"/>
        <v>USH 010</v>
      </c>
      <c r="K232" t="str">
        <f t="shared" si="89"/>
        <v xml:space="preserve">PIERCE                        </v>
      </c>
      <c r="L232" t="str">
        <f t="shared" si="92"/>
        <v xml:space="preserve">PRESCOTT - ELLSWORTH               </v>
      </c>
      <c r="M232" t="str">
        <f t="shared" si="93"/>
        <v xml:space="preserve">STH 29 TO SOUTH JUNCTION USH 63    </v>
      </c>
      <c r="N232">
        <v>13.577999999999999</v>
      </c>
      <c r="O232" t="str">
        <f>CLEAN("1530-02-80")</f>
        <v>1530-02-80</v>
      </c>
      <c r="P23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3" spans="1:16" x14ac:dyDescent="0.25">
      <c r="A233" t="str">
        <f t="shared" si="75"/>
        <v>10</v>
      </c>
      <c r="B233" t="str">
        <f t="shared" si="87"/>
        <v>25</v>
      </c>
      <c r="C233" s="1">
        <v>45272</v>
      </c>
      <c r="D233" t="str">
        <f>CLEAN("1530-02-80")</f>
        <v>1530-02-80</v>
      </c>
      <c r="E233" t="str">
        <f t="shared" si="86"/>
        <v xml:space="preserve">303  </v>
      </c>
      <c r="F233" t="str">
        <f>CLEAN("$750,000 - $999,999      ")</f>
        <v xml:space="preserve">$750,000 - $999,999      </v>
      </c>
      <c r="G233" t="str">
        <f t="shared" si="90"/>
        <v>LET</v>
      </c>
      <c r="H233" t="str">
        <f t="shared" si="91"/>
        <v xml:space="preserve">LET CONSTRUCTION         </v>
      </c>
      <c r="I233" t="str">
        <f>CLEAN("CONSTR/SFTY/WDN PVD SHLDRS/RMBLSTRP")</f>
        <v>CONSTR/SFTY/WDN PVD SHLDRS/RMBLSTRP</v>
      </c>
      <c r="J233" t="str">
        <f t="shared" si="88"/>
        <v>USH 010</v>
      </c>
      <c r="K233" t="str">
        <f t="shared" si="89"/>
        <v xml:space="preserve">PIERCE                        </v>
      </c>
      <c r="L233" t="str">
        <f t="shared" si="92"/>
        <v xml:space="preserve">PRESCOTT - ELLSWORTH               </v>
      </c>
      <c r="M233" t="str">
        <f t="shared" si="93"/>
        <v xml:space="preserve">STH 29 TO SOUTH JUNCTION USH 63    </v>
      </c>
      <c r="N233">
        <v>13.609</v>
      </c>
      <c r="O233" t="str">
        <f>CLEAN("1530-00-79")</f>
        <v>1530-00-79</v>
      </c>
      <c r="P23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34" spans="1:16" x14ac:dyDescent="0.25">
      <c r="A234" t="str">
        <f t="shared" si="75"/>
        <v>10</v>
      </c>
      <c r="B234" t="str">
        <f t="shared" si="87"/>
        <v>25</v>
      </c>
      <c r="C234" s="1">
        <v>45272</v>
      </c>
      <c r="D234" t="str">
        <f>CLEAN("1530-02-80")</f>
        <v>1530-02-80</v>
      </c>
      <c r="E234" t="str">
        <f t="shared" si="86"/>
        <v xml:space="preserve">303  </v>
      </c>
      <c r="F234" t="str">
        <f>CLEAN("$750,000 - $999,999      ")</f>
        <v xml:space="preserve">$750,000 - $999,999      </v>
      </c>
      <c r="G234" t="str">
        <f t="shared" si="90"/>
        <v>LET</v>
      </c>
      <c r="H234" t="str">
        <f t="shared" si="91"/>
        <v xml:space="preserve">LET CONSTRUCTION         </v>
      </c>
      <c r="I234" t="str">
        <f>CLEAN("CONSTR/SFTY/WDN PVD SHLDRS/RMBLSTRP")</f>
        <v>CONSTR/SFTY/WDN PVD SHLDRS/RMBLSTRP</v>
      </c>
      <c r="J234" t="str">
        <f t="shared" si="88"/>
        <v>USH 010</v>
      </c>
      <c r="K234" t="str">
        <f t="shared" si="89"/>
        <v xml:space="preserve">PIERCE                        </v>
      </c>
      <c r="L234" t="str">
        <f t="shared" si="92"/>
        <v xml:space="preserve">PRESCOTT - ELLSWORTH               </v>
      </c>
      <c r="M234" t="str">
        <f t="shared" si="93"/>
        <v xml:space="preserve">STH 29 TO SOUTH JUNCTION USH 63    </v>
      </c>
      <c r="N234">
        <v>13.609</v>
      </c>
      <c r="O234" t="str">
        <f>CLEAN("1530-00-79")</f>
        <v>1530-00-79</v>
      </c>
      <c r="P23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5" spans="1:16" x14ac:dyDescent="0.25">
      <c r="A235" t="str">
        <f t="shared" si="75"/>
        <v>10</v>
      </c>
      <c r="B235" t="str">
        <f t="shared" si="87"/>
        <v>25</v>
      </c>
      <c r="C235" s="1">
        <v>45272</v>
      </c>
      <c r="D235" t="str">
        <f>CLEAN("1530-02-80")</f>
        <v>1530-02-80</v>
      </c>
      <c r="E235" t="str">
        <f t="shared" si="86"/>
        <v xml:space="preserve">303  </v>
      </c>
      <c r="F235" t="str">
        <f>CLEAN("$750,000 - $999,999      ")</f>
        <v xml:space="preserve">$750,000 - $999,999      </v>
      </c>
      <c r="G235" t="str">
        <f t="shared" si="90"/>
        <v>LET</v>
      </c>
      <c r="H235" t="str">
        <f t="shared" si="91"/>
        <v xml:space="preserve">LET CONSTRUCTION         </v>
      </c>
      <c r="I235" t="str">
        <f>CLEAN("CONSTR/SFTY/WDN PVD SHLDRS/RMBLSTRP")</f>
        <v>CONSTR/SFTY/WDN PVD SHLDRS/RMBLSTRP</v>
      </c>
      <c r="J235" t="str">
        <f t="shared" si="88"/>
        <v>USH 010</v>
      </c>
      <c r="K235" t="str">
        <f t="shared" si="89"/>
        <v xml:space="preserve">PIERCE                        </v>
      </c>
      <c r="L235" t="str">
        <f t="shared" si="92"/>
        <v xml:space="preserve">PRESCOTT - ELLSWORTH               </v>
      </c>
      <c r="M235" t="str">
        <f t="shared" si="93"/>
        <v xml:space="preserve">STH 29 TO SOUTH JUNCTION USH 63    </v>
      </c>
      <c r="N235">
        <v>13.609</v>
      </c>
      <c r="O235" t="str">
        <f>CLEAN("1530-02-70")</f>
        <v>1530-02-70</v>
      </c>
      <c r="P23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36" spans="1:16" x14ac:dyDescent="0.25">
      <c r="A236" t="str">
        <f t="shared" si="75"/>
        <v>10</v>
      </c>
      <c r="B236" t="str">
        <f t="shared" si="87"/>
        <v>25</v>
      </c>
      <c r="C236" s="1">
        <v>45272</v>
      </c>
      <c r="D236" t="str">
        <f>CLEAN("1530-02-80")</f>
        <v>1530-02-80</v>
      </c>
      <c r="E236" t="str">
        <f t="shared" si="86"/>
        <v xml:space="preserve">303  </v>
      </c>
      <c r="F236" t="str">
        <f>CLEAN("$750,000 - $999,999      ")</f>
        <v xml:space="preserve">$750,000 - $999,999      </v>
      </c>
      <c r="G236" t="str">
        <f t="shared" si="90"/>
        <v>LET</v>
      </c>
      <c r="H236" t="str">
        <f t="shared" si="91"/>
        <v xml:space="preserve">LET CONSTRUCTION         </v>
      </c>
      <c r="I236" t="str">
        <f>CLEAN("CONSTR/SFTY/WDN PVD SHLDRS/RMBLSTRP")</f>
        <v>CONSTR/SFTY/WDN PVD SHLDRS/RMBLSTRP</v>
      </c>
      <c r="J236" t="str">
        <f t="shared" si="88"/>
        <v>USH 010</v>
      </c>
      <c r="K236" t="str">
        <f t="shared" si="89"/>
        <v xml:space="preserve">PIERCE                        </v>
      </c>
      <c r="L236" t="str">
        <f t="shared" si="92"/>
        <v xml:space="preserve">PRESCOTT - ELLSWORTH               </v>
      </c>
      <c r="M236" t="str">
        <f t="shared" si="93"/>
        <v xml:space="preserve">STH 29 TO SOUTH JUNCTION USH 63    </v>
      </c>
      <c r="N236">
        <v>13.609</v>
      </c>
      <c r="O236" t="str">
        <f>CLEAN("1530-02-70")</f>
        <v>1530-02-70</v>
      </c>
      <c r="P2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7" spans="1:16" x14ac:dyDescent="0.25">
      <c r="A237" t="str">
        <f t="shared" si="75"/>
        <v>10</v>
      </c>
      <c r="B237" t="str">
        <f t="shared" si="87"/>
        <v>25</v>
      </c>
      <c r="C237" s="1">
        <v>45437</v>
      </c>
      <c r="D237" t="str">
        <f>CLEAN("1530-05-25")</f>
        <v>1530-05-25</v>
      </c>
      <c r="E237" t="str">
        <f t="shared" si="86"/>
        <v xml:space="preserve">303  </v>
      </c>
      <c r="F237" t="str">
        <f>CLEAN("$0 - $99,999             ")</f>
        <v xml:space="preserve">$0 - $99,999             </v>
      </c>
      <c r="G237" t="str">
        <f>CLEAN("R/E")</f>
        <v>R/E</v>
      </c>
      <c r="H237" t="str">
        <f>CLEAN("NONLET CONSTR/REAL ESTATE")</f>
        <v>NONLET CONSTR/REAL ESTATE</v>
      </c>
      <c r="I237" t="str">
        <f>CLEAN("REAL ESTATE ACQUISITION            ")</f>
        <v xml:space="preserve">REAL ESTATE ACQUISITION            </v>
      </c>
      <c r="J237" t="str">
        <f t="shared" si="88"/>
        <v>USH 010</v>
      </c>
      <c r="K237" t="str">
        <f>CLEAN("PEPIN                         ")</f>
        <v xml:space="preserve">PEPIN                         </v>
      </c>
      <c r="L237" t="str">
        <f>CLEAN("ELLSWORTH - DURAND                 ")</f>
        <v xml:space="preserve">ELLSWORTH - DURAND                 </v>
      </c>
      <c r="M237" t="str">
        <f>CLEAN("STH 25 N INTERSECTION              ")</f>
        <v xml:space="preserve">STH 25 N INTERSECTION              </v>
      </c>
      <c r="N237">
        <v>1.0999999999999999E-2</v>
      </c>
      <c r="O237" t="str">
        <f>CLEAN("          ")</f>
        <v xml:space="preserve">          </v>
      </c>
      <c r="P2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8" spans="1:16" x14ac:dyDescent="0.25">
      <c r="A238" t="str">
        <f t="shared" si="75"/>
        <v>10</v>
      </c>
      <c r="B238" t="str">
        <f t="shared" si="87"/>
        <v>25</v>
      </c>
      <c r="C238" s="1">
        <v>45272</v>
      </c>
      <c r="D238" t="str">
        <f>CLEAN("1530-05-73")</f>
        <v>1530-05-73</v>
      </c>
      <c r="E238" t="str">
        <f t="shared" si="86"/>
        <v xml:space="preserve">303  </v>
      </c>
      <c r="F238" t="str">
        <f>CLEAN("$5,000,000 - $5,999,999  ")</f>
        <v xml:space="preserve">$5,000,000 - $5,999,999  </v>
      </c>
      <c r="G238" t="str">
        <f>CLEAN("LET")</f>
        <v>LET</v>
      </c>
      <c r="H238" t="str">
        <f>CLEAN("LET CONSTRUCTION         ")</f>
        <v xml:space="preserve">LET CONSTRUCTION         </v>
      </c>
      <c r="I238" t="str">
        <f>CLEAN("CONSTRUCTION/RESURFACE             ")</f>
        <v xml:space="preserve">CONSTRUCTION/RESURFACE             </v>
      </c>
      <c r="J238" t="str">
        <f t="shared" si="88"/>
        <v>USH 010</v>
      </c>
      <c r="K238" t="str">
        <f>CLEAN("PEPIN                         ")</f>
        <v xml:space="preserve">PEPIN                         </v>
      </c>
      <c r="L238" t="str">
        <f>CLEAN("ELLSWORTH - DURAND                 ")</f>
        <v xml:space="preserve">ELLSWORTH - DURAND                 </v>
      </c>
      <c r="M238" t="str">
        <f>CLEAN("PIERCE/PEPIN COUNTY LINE TO CTH P  ")</f>
        <v xml:space="preserve">PIERCE/PEPIN COUNTY LINE TO CTH P  </v>
      </c>
      <c r="N238">
        <v>7.6120000000000001</v>
      </c>
      <c r="O238" t="str">
        <f>CLEAN("1530-05-83")</f>
        <v>1530-05-83</v>
      </c>
      <c r="P23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39" spans="1:16" x14ac:dyDescent="0.25">
      <c r="A239" t="str">
        <f t="shared" si="75"/>
        <v>10</v>
      </c>
      <c r="B239" t="str">
        <f t="shared" si="87"/>
        <v>25</v>
      </c>
      <c r="C239" s="1">
        <v>45272</v>
      </c>
      <c r="D239" t="str">
        <f>CLEAN("1530-05-73")</f>
        <v>1530-05-73</v>
      </c>
      <c r="E239" t="str">
        <f t="shared" si="86"/>
        <v xml:space="preserve">303  </v>
      </c>
      <c r="F239" t="str">
        <f>CLEAN("$5,000,000 - $5,999,999  ")</f>
        <v xml:space="preserve">$5,000,000 - $5,999,999  </v>
      </c>
      <c r="G239" t="str">
        <f>CLEAN("LET")</f>
        <v>LET</v>
      </c>
      <c r="H239" t="str">
        <f>CLEAN("LET CONSTRUCTION         ")</f>
        <v xml:space="preserve">LET CONSTRUCTION         </v>
      </c>
      <c r="I239" t="str">
        <f>CLEAN("CONSTRUCTION/RESURFACE             ")</f>
        <v xml:space="preserve">CONSTRUCTION/RESURFACE             </v>
      </c>
      <c r="J239" t="str">
        <f t="shared" si="88"/>
        <v>USH 010</v>
      </c>
      <c r="K239" t="str">
        <f>CLEAN("PEPIN                         ")</f>
        <v xml:space="preserve">PEPIN                         </v>
      </c>
      <c r="L239" t="str">
        <f>CLEAN("ELLSWORTH - DURAND                 ")</f>
        <v xml:space="preserve">ELLSWORTH - DURAND                 </v>
      </c>
      <c r="M239" t="str">
        <f>CLEAN("PIERCE/PEPIN COUNTY LINE TO CTH P  ")</f>
        <v xml:space="preserve">PIERCE/PEPIN COUNTY LINE TO CTH P  </v>
      </c>
      <c r="N239">
        <v>7.6120000000000001</v>
      </c>
      <c r="O239" t="str">
        <f>CLEAN("1530-05-83")</f>
        <v>1530-05-83</v>
      </c>
      <c r="P2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0" spans="1:16" x14ac:dyDescent="0.25">
      <c r="A240" t="str">
        <f t="shared" si="75"/>
        <v>10</v>
      </c>
      <c r="B240" t="str">
        <f t="shared" si="87"/>
        <v>25</v>
      </c>
      <c r="C240" s="1">
        <v>45272</v>
      </c>
      <c r="D240" t="str">
        <f>CLEAN("1530-05-83")</f>
        <v>1530-05-83</v>
      </c>
      <c r="E240" t="str">
        <f t="shared" si="86"/>
        <v xml:space="preserve">303  </v>
      </c>
      <c r="F240" t="str">
        <f>CLEAN("$100,000-$249,999        ")</f>
        <v xml:space="preserve">$100,000-$249,999        </v>
      </c>
      <c r="G240" t="str">
        <f>CLEAN("LET")</f>
        <v>LET</v>
      </c>
      <c r="H240" t="str">
        <f>CLEAN("LET CONSTRUCTION         ")</f>
        <v xml:space="preserve">LET CONSTRUCTION         </v>
      </c>
      <c r="I240" t="str">
        <f>CLEAN("CONSTRUCTION/RESURFACE             ")</f>
        <v xml:space="preserve">CONSTRUCTION/RESURFACE             </v>
      </c>
      <c r="J240" t="str">
        <f t="shared" si="88"/>
        <v>USH 010</v>
      </c>
      <c r="K240" t="str">
        <f>CLEAN("PEPIN                         ")</f>
        <v xml:space="preserve">PEPIN                         </v>
      </c>
      <c r="L240" t="str">
        <f>CLEAN("DURAND - MONDOVI                   ")</f>
        <v xml:space="preserve">DURAND - MONDOVI                   </v>
      </c>
      <c r="M240" t="str">
        <f>CLEAN("DURAND ST TO 950' EAST OF DURAND ST")</f>
        <v>DURAND ST TO 950' EAST OF DURAND ST</v>
      </c>
      <c r="N240">
        <v>0.193</v>
      </c>
      <c r="O240" t="str">
        <f>CLEAN("1530-05-73")</f>
        <v>1530-05-73</v>
      </c>
      <c r="P24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1" spans="1:16" x14ac:dyDescent="0.25">
      <c r="A241" t="str">
        <f t="shared" si="75"/>
        <v>10</v>
      </c>
      <c r="B241" t="str">
        <f t="shared" si="87"/>
        <v>25</v>
      </c>
      <c r="C241" s="1">
        <v>45316</v>
      </c>
      <c r="D241" t="str">
        <f>CLEAN("1540-00-23")</f>
        <v>1540-00-23</v>
      </c>
      <c r="E241" t="str">
        <f t="shared" si="86"/>
        <v xml:space="preserve">303  </v>
      </c>
      <c r="F241" t="str">
        <f>CLEAN("$0 - $99,999             ")</f>
        <v xml:space="preserve">$0 - $99,999             </v>
      </c>
      <c r="G241" t="str">
        <f>CLEAN("R/E")</f>
        <v>R/E</v>
      </c>
      <c r="H241" t="str">
        <f>CLEAN("NONLET CONSTR/REAL ESTATE")</f>
        <v>NONLET CONSTR/REAL ESTATE</v>
      </c>
      <c r="I241" t="str">
        <f>CLEAN("REAL ESTATE ACQUISITION            ")</f>
        <v xml:space="preserve">REAL ESTATE ACQUISITION            </v>
      </c>
      <c r="J241" t="str">
        <f>CLEAN("STH 065")</f>
        <v>STH 065</v>
      </c>
      <c r="K241" t="str">
        <f>CLEAN("PIERCE                        ")</f>
        <v xml:space="preserve">PIERCE                        </v>
      </c>
      <c r="L241" t="str">
        <f>CLEAN("ELLSWORTH - RIVER FALLS            ")</f>
        <v xml:space="preserve">ELLSWORTH - RIVER FALLS            </v>
      </c>
      <c r="M241" t="str">
        <f>CLEAN("CULVERT C-47-0002 &amp; C-47-0005      ")</f>
        <v xml:space="preserve">CULVERT C-47-0002 &amp; C-47-0005      </v>
      </c>
      <c r="N241">
        <v>0.16200000000000001</v>
      </c>
      <c r="O241" t="str">
        <f>CLEAN("          ")</f>
        <v xml:space="preserve">          </v>
      </c>
      <c r="P24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2" spans="1:16" x14ac:dyDescent="0.25">
      <c r="A242" t="str">
        <f t="shared" si="75"/>
        <v>10</v>
      </c>
      <c r="B242" t="str">
        <f t="shared" si="87"/>
        <v>25</v>
      </c>
      <c r="C242" s="1">
        <v>45608</v>
      </c>
      <c r="D242" t="str">
        <f>CLEAN("1540-00-73")</f>
        <v>1540-00-73</v>
      </c>
      <c r="E242" t="str">
        <f t="shared" si="86"/>
        <v xml:space="preserve">303  </v>
      </c>
      <c r="F242" t="str">
        <f>CLEAN("$750,000 - $999,999      ")</f>
        <v xml:space="preserve">$750,000 - $999,999      </v>
      </c>
      <c r="G242" t="str">
        <f>CLEAN("LET")</f>
        <v>LET</v>
      </c>
      <c r="H242" t="str">
        <f>CLEAN("LET CONSTRUCTION         ")</f>
        <v xml:space="preserve">LET CONSTRUCTION         </v>
      </c>
      <c r="I242" t="str">
        <f>CLEAN("CONSTR/MISC/CULVERT REPLACEMENT    ")</f>
        <v xml:space="preserve">CONSTR/MISC/CULVERT REPLACEMENT    </v>
      </c>
      <c r="J242" t="str">
        <f>CLEAN("STH 065")</f>
        <v>STH 065</v>
      </c>
      <c r="K242" t="str">
        <f>CLEAN("PIERCE                        ")</f>
        <v xml:space="preserve">PIERCE                        </v>
      </c>
      <c r="L242" t="str">
        <f>CLEAN("ELLSWORTH - RIVER FALLS            ")</f>
        <v xml:space="preserve">ELLSWORTH - RIVER FALLS            </v>
      </c>
      <c r="M242" t="str">
        <f>CLEAN("CULVERTS C-47-0063 &amp; C-47-0005     ")</f>
        <v xml:space="preserve">CULVERTS C-47-0063 &amp; C-47-0005     </v>
      </c>
      <c r="N242">
        <v>0.16200000000000001</v>
      </c>
      <c r="O242" t="str">
        <f>CLEAN("1530-01-76")</f>
        <v>1530-01-76</v>
      </c>
      <c r="P24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3" spans="1:16" x14ac:dyDescent="0.25">
      <c r="A243" t="str">
        <f t="shared" si="75"/>
        <v>10</v>
      </c>
      <c r="B243" t="str">
        <f t="shared" si="87"/>
        <v>25</v>
      </c>
      <c r="C243" s="1">
        <v>45468</v>
      </c>
      <c r="D243" t="str">
        <f>CLEAN("1540-04-40")</f>
        <v>1540-04-40</v>
      </c>
      <c r="E243" t="str">
        <f t="shared" si="86"/>
        <v xml:space="preserve">303  </v>
      </c>
      <c r="F243" t="str">
        <f>CLEAN("$100,000-$249,999        ")</f>
        <v xml:space="preserve">$100,000-$249,999        </v>
      </c>
      <c r="G243" t="str">
        <f>CLEAN("UTL")</f>
        <v>UTL</v>
      </c>
      <c r="H243" t="str">
        <f>CLEAN("NONLET CONSTR/REAL ESTATE")</f>
        <v>NONLET CONSTR/REAL ESTATE</v>
      </c>
      <c r="I243" t="str">
        <f>CLEAN("UTL/INT 40/AT&amp;T/1540-04-73         ")</f>
        <v xml:space="preserve">UTL/INT 40/AT&amp;T/1540-04-73         </v>
      </c>
      <c r="J243" t="str">
        <f>CLEAN("STH 065")</f>
        <v>STH 065</v>
      </c>
      <c r="K243" t="str">
        <f t="shared" ref="K243:K248" si="94">CLEAN("ST. CROIX                     ")</f>
        <v xml:space="preserve">ST. CROIX                     </v>
      </c>
      <c r="L243" t="str">
        <f>CLEAN("RIVER FALLS - NEW RICHMOND         ")</f>
        <v xml:space="preserve">RIVER FALLS - NEW RICHMOND         </v>
      </c>
      <c r="M243" t="str">
        <f>CLEAN("STH 65 EXPANSION/70TH AVE INT      ")</f>
        <v xml:space="preserve">STH 65 EXPANSION/70TH AVE INT      </v>
      </c>
      <c r="N243">
        <v>0.62</v>
      </c>
      <c r="O243" t="str">
        <f>CLEAN("          ")</f>
        <v xml:space="preserve">          </v>
      </c>
      <c r="P24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44" spans="1:16" x14ac:dyDescent="0.25">
      <c r="A244" t="str">
        <f t="shared" si="75"/>
        <v>10</v>
      </c>
      <c r="B244" t="str">
        <f t="shared" si="87"/>
        <v>25</v>
      </c>
      <c r="C244" s="1">
        <v>45621</v>
      </c>
      <c r="D244" t="str">
        <f>CLEAN("1550-02-28")</f>
        <v>1550-02-28</v>
      </c>
      <c r="E244" t="str">
        <f t="shared" si="86"/>
        <v xml:space="preserve">303  </v>
      </c>
      <c r="F244" t="str">
        <f>CLEAN("$0 - $99,999             ")</f>
        <v xml:space="preserve">$0 - $99,999             </v>
      </c>
      <c r="G244" t="str">
        <f>CLEAN("R/E")</f>
        <v>R/E</v>
      </c>
      <c r="H244" t="str">
        <f>CLEAN("NONLET CONSTR/REAL ESTATE")</f>
        <v>NONLET CONSTR/REAL ESTATE</v>
      </c>
      <c r="I244" t="str">
        <f>CLEAN("REAL ESTATE ACQUISTION             ")</f>
        <v xml:space="preserve">REAL ESTATE ACQUISTION             </v>
      </c>
      <c r="J244" t="str">
        <f t="shared" ref="J244:J253" si="95">CLEAN("USH 063")</f>
        <v>USH 063</v>
      </c>
      <c r="K244" t="str">
        <f t="shared" si="94"/>
        <v xml:space="preserve">ST. CROIX                     </v>
      </c>
      <c r="L244" t="str">
        <f>CLEAN("BALDWIN - CLEAR LAKE               ")</f>
        <v xml:space="preserve">BALDWIN - CLEAR LAKE               </v>
      </c>
      <c r="M244" t="str">
        <f>CLEAN("USH 12 W TO POLK COUNTY LINE       ")</f>
        <v xml:space="preserve">USH 12 W TO POLK COUNTY LINE       </v>
      </c>
      <c r="N244">
        <v>21.087</v>
      </c>
      <c r="O244" t="str">
        <f>CLEAN("          ")</f>
        <v xml:space="preserve">          </v>
      </c>
      <c r="P24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5" spans="1:16" x14ac:dyDescent="0.25">
      <c r="A245" t="str">
        <f t="shared" si="75"/>
        <v>10</v>
      </c>
      <c r="B245" t="str">
        <f t="shared" si="87"/>
        <v>25</v>
      </c>
      <c r="C245" s="1">
        <v>45437</v>
      </c>
      <c r="D245" t="str">
        <f>CLEAN("1550-02-29")</f>
        <v>1550-02-29</v>
      </c>
      <c r="E245" t="str">
        <f t="shared" si="86"/>
        <v xml:space="preserve">303  </v>
      </c>
      <c r="F245" t="str">
        <f>CLEAN("$0 - $99,999             ")</f>
        <v xml:space="preserve">$0 - $99,999             </v>
      </c>
      <c r="G245" t="str">
        <f>CLEAN("R/E")</f>
        <v>R/E</v>
      </c>
      <c r="H245" t="str">
        <f>CLEAN("NONLET CONSTR/REAL ESTATE")</f>
        <v>NONLET CONSTR/REAL ESTATE</v>
      </c>
      <c r="I245" t="str">
        <f>CLEAN("REAL ESTATE ACQUISITION            ")</f>
        <v xml:space="preserve">REAL ESTATE ACQUISITION            </v>
      </c>
      <c r="J245" t="str">
        <f t="shared" si="95"/>
        <v>USH 063</v>
      </c>
      <c r="K245" t="str">
        <f t="shared" si="94"/>
        <v xml:space="preserve">ST. CROIX                     </v>
      </c>
      <c r="L245" t="str">
        <f>CLEAN("BALDWIN - CLEAR LAKE               ")</f>
        <v xml:space="preserve">BALDWIN - CLEAR LAKE               </v>
      </c>
      <c r="M245" t="str">
        <f>CLEAN("RUSH RIVER BRIDGE B-55-0609        ")</f>
        <v xml:space="preserve">RUSH RIVER BRIDGE B-55-0609        </v>
      </c>
      <c r="N245">
        <v>0</v>
      </c>
      <c r="O245" t="str">
        <f>CLEAN("          ")</f>
        <v xml:space="preserve">          </v>
      </c>
      <c r="P24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6" spans="1:16" x14ac:dyDescent="0.25">
      <c r="A246" t="str">
        <f t="shared" si="75"/>
        <v>10</v>
      </c>
      <c r="B246" t="str">
        <f t="shared" si="87"/>
        <v>25</v>
      </c>
      <c r="C246" s="1">
        <v>45545</v>
      </c>
      <c r="D246" t="str">
        <f>CLEAN("1550-02-73")</f>
        <v>1550-02-73</v>
      </c>
      <c r="E246" t="str">
        <f t="shared" si="86"/>
        <v xml:space="preserve">303  </v>
      </c>
      <c r="F246" t="str">
        <f>CLEAN("$2,000,000 - $2,999,999  ")</f>
        <v xml:space="preserve">$2,000,000 - $2,999,999  </v>
      </c>
      <c r="G246" t="str">
        <f>CLEAN("LET")</f>
        <v>LET</v>
      </c>
      <c r="H246" t="str">
        <f>CLEAN("LET CONSTRUCTION         ")</f>
        <v xml:space="preserve">LET CONSTRUCTION         </v>
      </c>
      <c r="I246" t="str">
        <f>CLEAN("CONSTRUCTION/BRIDGE REPLACEMENT    ")</f>
        <v xml:space="preserve">CONSTRUCTION/BRIDGE REPLACEMENT    </v>
      </c>
      <c r="J246" t="str">
        <f t="shared" si="95"/>
        <v>USH 063</v>
      </c>
      <c r="K246" t="str">
        <f t="shared" si="94"/>
        <v xml:space="preserve">ST. CROIX                     </v>
      </c>
      <c r="L246" t="str">
        <f>CLEAN("BALDWIN - CLEAR LAKE               ")</f>
        <v xml:space="preserve">BALDWIN - CLEAR LAKE               </v>
      </c>
      <c r="M246" t="str">
        <f>CLEAN("BRANCH RUSH RIVER BRIDGE B-55-0289 ")</f>
        <v xml:space="preserve">BRANCH RUSH RIVER BRIDGE B-55-0289 </v>
      </c>
      <c r="N246">
        <v>0.32400000000000001</v>
      </c>
      <c r="O246" t="str">
        <f>CLEAN("1550-02-77")</f>
        <v>1550-02-77</v>
      </c>
      <c r="P24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7" spans="1:16" x14ac:dyDescent="0.25">
      <c r="A247" t="str">
        <f t="shared" si="75"/>
        <v>10</v>
      </c>
      <c r="B247" t="str">
        <f t="shared" si="87"/>
        <v>25</v>
      </c>
      <c r="C247" s="1">
        <v>45545</v>
      </c>
      <c r="D247" t="str">
        <f>CLEAN("1550-02-75")</f>
        <v>1550-02-75</v>
      </c>
      <c r="E247" t="str">
        <f t="shared" si="86"/>
        <v xml:space="preserve">303  </v>
      </c>
      <c r="F247" t="str">
        <f>CLEAN("$250,000 - $499,999      ")</f>
        <v xml:space="preserve">$250,000 - $499,999      </v>
      </c>
      <c r="G247" t="str">
        <f>CLEAN("LET")</f>
        <v>LET</v>
      </c>
      <c r="H247" t="str">
        <f>CLEAN("LET CONSTRUCTION         ")</f>
        <v xml:space="preserve">LET CONSTRUCTION         </v>
      </c>
      <c r="I247" t="str">
        <f>CLEAN("CONSTR/BRIDGE REHABILITATION       ")</f>
        <v xml:space="preserve">CONSTR/BRIDGE REHABILITATION       </v>
      </c>
      <c r="J247" t="str">
        <f t="shared" si="95"/>
        <v>USH 063</v>
      </c>
      <c r="K247" t="str">
        <f t="shared" si="94"/>
        <v xml:space="preserve">ST. CROIX                     </v>
      </c>
      <c r="L247" t="str">
        <f>CLEAN("BALDWIN - CLEAR LAKE               ")</f>
        <v xml:space="preserve">BALDWIN - CLEAR LAKE               </v>
      </c>
      <c r="M247" t="str">
        <f>CLEAN("BR WILLOW RIVER BRIDGE B-55-0055   ")</f>
        <v xml:space="preserve">BR WILLOW RIVER BRIDGE B-55-0055   </v>
      </c>
      <c r="N247">
        <v>3.0000000000000001E-3</v>
      </c>
      <c r="O247" t="str">
        <f>CLEAN("          ")</f>
        <v xml:space="preserve">          </v>
      </c>
      <c r="P247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8" spans="1:16" x14ac:dyDescent="0.25">
      <c r="A248" t="str">
        <f t="shared" ref="A248:A311" si="96">CLEAN("10")</f>
        <v>10</v>
      </c>
      <c r="B248" t="str">
        <f t="shared" si="87"/>
        <v>25</v>
      </c>
      <c r="C248" s="1">
        <v>45545</v>
      </c>
      <c r="D248" t="str">
        <f>CLEAN("1550-02-77")</f>
        <v>1550-02-77</v>
      </c>
      <c r="E248" t="str">
        <f t="shared" si="86"/>
        <v xml:space="preserve">303  </v>
      </c>
      <c r="F248" t="str">
        <f>CLEAN("$250,000 - $499,999      ")</f>
        <v xml:space="preserve">$250,000 - $499,999      </v>
      </c>
      <c r="G248" t="str">
        <f>CLEAN("LET")</f>
        <v>LET</v>
      </c>
      <c r="H248" t="str">
        <f>CLEAN("LET CONSTRUCTION         ")</f>
        <v xml:space="preserve">LET CONSTRUCTION         </v>
      </c>
      <c r="I248" t="str">
        <f>CLEAN("CONSTR/SAFETY/INTERSECTION IMPRVMNT")</f>
        <v>CONSTR/SAFETY/INTERSECTION IMPRVMNT</v>
      </c>
      <c r="J248" t="str">
        <f t="shared" si="95"/>
        <v>USH 063</v>
      </c>
      <c r="K248" t="str">
        <f t="shared" si="94"/>
        <v xml:space="preserve">ST. CROIX                     </v>
      </c>
      <c r="L248" t="str">
        <f>CLEAN("BALDWIN - CLEAR LAKE               ")</f>
        <v xml:space="preserve">BALDWIN - CLEAR LAKE               </v>
      </c>
      <c r="M248" t="str">
        <f>CLEAN("SPRUCE STREET INTERSECTION         ")</f>
        <v xml:space="preserve">SPRUCE STREET INTERSECTION         </v>
      </c>
      <c r="N248">
        <v>8.9999999999999993E-3</v>
      </c>
      <c r="O248" t="str">
        <f>CLEAN("1550-02-73")</f>
        <v>1550-02-73</v>
      </c>
      <c r="P24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49" spans="1:16" x14ac:dyDescent="0.25">
      <c r="A249" t="str">
        <f t="shared" si="96"/>
        <v>10</v>
      </c>
      <c r="B249" t="str">
        <f t="shared" si="87"/>
        <v>25</v>
      </c>
      <c r="C249" s="1">
        <v>45437</v>
      </c>
      <c r="D249" t="str">
        <f>CLEAN("1550-04-22")</f>
        <v>1550-04-22</v>
      </c>
      <c r="E249" t="str">
        <f t="shared" si="86"/>
        <v xml:space="preserve">303  </v>
      </c>
      <c r="F249" t="str">
        <f>CLEAN("$0 - $99,999             ")</f>
        <v xml:space="preserve">$0 - $99,999             </v>
      </c>
      <c r="G249" t="str">
        <f>CLEAN("R/E")</f>
        <v>R/E</v>
      </c>
      <c r="H249" t="str">
        <f>CLEAN("NONLET CONSTR/REAL ESTATE")</f>
        <v>NONLET CONSTR/REAL ESTATE</v>
      </c>
      <c r="I249" t="str">
        <f>CLEAN("REAL ESTATE ACQUISTION/1550-04-79  ")</f>
        <v xml:space="preserve">REAL ESTATE ACQUISTION/1550-04-79  </v>
      </c>
      <c r="J249" t="str">
        <f t="shared" si="95"/>
        <v>USH 063</v>
      </c>
      <c r="K249" t="str">
        <f>CLEAN("BARRON                        ")</f>
        <v xml:space="preserve">BARRON                        </v>
      </c>
      <c r="L249" t="str">
        <f>CLEAN("C CUMBERLAND, SUPERIOR AVENUE      ")</f>
        <v xml:space="preserve">C CUMBERLAND, SUPERIOR AVENUE      </v>
      </c>
      <c r="M249" t="str">
        <f>CLEAN("BEAVER DAM LAKE C-03-1459          ")</f>
        <v xml:space="preserve">BEAVER DAM LAKE C-03-1459          </v>
      </c>
      <c r="N249">
        <v>0.154</v>
      </c>
      <c r="O249" t="str">
        <f t="shared" ref="O249:O254" si="97">CLEAN("          ")</f>
        <v xml:space="preserve">          </v>
      </c>
      <c r="P24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0" spans="1:16" x14ac:dyDescent="0.25">
      <c r="A250" t="str">
        <f t="shared" si="96"/>
        <v>10</v>
      </c>
      <c r="B250" t="str">
        <f t="shared" si="87"/>
        <v>25</v>
      </c>
      <c r="C250" s="1">
        <v>45437</v>
      </c>
      <c r="D250" t="str">
        <f>CLEAN("1550-04-27")</f>
        <v>1550-04-27</v>
      </c>
      <c r="E250" t="str">
        <f t="shared" si="86"/>
        <v xml:space="preserve">303  </v>
      </c>
      <c r="F250" t="str">
        <f>CLEAN("$0 - $99,999             ")</f>
        <v xml:space="preserve">$0 - $99,999             </v>
      </c>
      <c r="G250" t="str">
        <f>CLEAN("R/E")</f>
        <v>R/E</v>
      </c>
      <c r="H250" t="str">
        <f>CLEAN("NONLET CONSTR/REAL ESTATE")</f>
        <v>NONLET CONSTR/REAL ESTATE</v>
      </c>
      <c r="I250" t="str">
        <f>CLEAN("REAL ESTATE ACQUISTION             ")</f>
        <v xml:space="preserve">REAL ESTATE ACQUISTION             </v>
      </c>
      <c r="J250" t="str">
        <f t="shared" si="95"/>
        <v>USH 063</v>
      </c>
      <c r="K250" t="str">
        <f>CLEAN("BARRON                        ")</f>
        <v xml:space="preserve">BARRON                        </v>
      </c>
      <c r="L250" t="str">
        <f>CLEAN("CUMBERLAND - SPOONER               ")</f>
        <v xml:space="preserve">CUMBERLAND - SPOONER               </v>
      </c>
      <c r="M250" t="str">
        <f>CLEAN("CHARRIE LN TO BARRON/WASHBURN CO LN")</f>
        <v>CHARRIE LN TO BARRON/WASHBURN CO LN</v>
      </c>
      <c r="N250">
        <v>0</v>
      </c>
      <c r="O250" t="str">
        <f t="shared" si="97"/>
        <v xml:space="preserve">          </v>
      </c>
      <c r="P25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1" spans="1:16" x14ac:dyDescent="0.25">
      <c r="A251" t="str">
        <f t="shared" si="96"/>
        <v>10</v>
      </c>
      <c r="B251" t="str">
        <f t="shared" si="87"/>
        <v>25</v>
      </c>
      <c r="C251" s="1">
        <v>45608</v>
      </c>
      <c r="D251" t="str">
        <f>CLEAN("1550-04-74")</f>
        <v>1550-04-74</v>
      </c>
      <c r="E251" t="str">
        <f t="shared" si="86"/>
        <v xml:space="preserve">303  </v>
      </c>
      <c r="F251" t="str">
        <f>CLEAN("$2,000,000 - $2,999,999  ")</f>
        <v xml:space="preserve">$2,000,000 - $2,999,999  </v>
      </c>
      <c r="G251" t="str">
        <f>CLEAN("LET")</f>
        <v>LET</v>
      </c>
      <c r="H251" t="str">
        <f>CLEAN("LET CONSTRUCTION         ")</f>
        <v xml:space="preserve">LET CONSTRUCTION         </v>
      </c>
      <c r="I251" t="str">
        <f>CLEAN("CONSTRUCTION/RESURFACING           ")</f>
        <v xml:space="preserve">CONSTRUCTION/RESURFACING           </v>
      </c>
      <c r="J251" t="str">
        <f t="shared" si="95"/>
        <v>USH 063</v>
      </c>
      <c r="K251" t="str">
        <f>CLEAN("BARRON                        ")</f>
        <v xml:space="preserve">BARRON                        </v>
      </c>
      <c r="L251" t="str">
        <f>CLEAN("C CUMBERLAND, ELM ST AND 2ND AVE   ")</f>
        <v xml:space="preserve">C CUMBERLAND, ELM ST AND 2ND AVE   </v>
      </c>
      <c r="M251" t="str">
        <f>CLEAN("WEST JUNCTION STH 48 TO CHARRIE LN ")</f>
        <v xml:space="preserve">WEST JUNCTION STH 48 TO CHARRIE LN </v>
      </c>
      <c r="N251">
        <v>2.3029999999999999</v>
      </c>
      <c r="O251" t="str">
        <f t="shared" si="97"/>
        <v xml:space="preserve">          </v>
      </c>
      <c r="P2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2" spans="1:16" x14ac:dyDescent="0.25">
      <c r="A252" t="str">
        <f t="shared" si="96"/>
        <v>10</v>
      </c>
      <c r="B252" t="str">
        <f t="shared" si="87"/>
        <v>25</v>
      </c>
      <c r="C252" s="1">
        <v>45621</v>
      </c>
      <c r="D252" t="str">
        <f>CLEAN("1560-00-28")</f>
        <v>1560-00-28</v>
      </c>
      <c r="E252" t="str">
        <f t="shared" ref="E252:E287" si="98">CLEAN("303  ")</f>
        <v xml:space="preserve">303  </v>
      </c>
      <c r="F252" t="str">
        <f>CLEAN("$0 - $99,999             ")</f>
        <v xml:space="preserve">$0 - $99,999             </v>
      </c>
      <c r="G252" t="str">
        <f>CLEAN("R/E")</f>
        <v>R/E</v>
      </c>
      <c r="H252" t="str">
        <f>CLEAN("NONLET CONSTR/REAL ESTATE")</f>
        <v>NONLET CONSTR/REAL ESTATE</v>
      </c>
      <c r="I252" t="str">
        <f>CLEAN("REAL ESTATE ACQUISITION            ")</f>
        <v xml:space="preserve">REAL ESTATE ACQUISITION            </v>
      </c>
      <c r="J252" t="str">
        <f t="shared" si="95"/>
        <v>USH 063</v>
      </c>
      <c r="K252" t="str">
        <f>CLEAN("BAYFIELD                      ")</f>
        <v xml:space="preserve">BAYFIELD                      </v>
      </c>
      <c r="L252" t="str">
        <f>CLEAN("DRUMMOND - USH 2                   ")</f>
        <v xml:space="preserve">DRUMMOND - USH 2                   </v>
      </c>
      <c r="M252" t="str">
        <f>CLEAN("20 MILE CREEK CULVERT C-04-0001    ")</f>
        <v xml:space="preserve">20 MILE CREEK CULVERT C-04-0001    </v>
      </c>
      <c r="N252">
        <v>0.1</v>
      </c>
      <c r="O252" t="str">
        <f t="shared" si="97"/>
        <v xml:space="preserve">          </v>
      </c>
      <c r="P2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3" spans="1:16" x14ac:dyDescent="0.25">
      <c r="A253" t="str">
        <f t="shared" si="96"/>
        <v>10</v>
      </c>
      <c r="B253" t="str">
        <f t="shared" si="87"/>
        <v>25</v>
      </c>
      <c r="C253" s="1">
        <v>45608</v>
      </c>
      <c r="D253" t="str">
        <f>CLEAN("1560-02-74")</f>
        <v>1560-02-74</v>
      </c>
      <c r="E253" t="str">
        <f t="shared" si="98"/>
        <v xml:space="preserve">303  </v>
      </c>
      <c r="F253" t="str">
        <f>CLEAN("$1,000,000 - $1,999,999  ")</f>
        <v xml:space="preserve">$1,000,000 - $1,999,999  </v>
      </c>
      <c r="G253" t="str">
        <f t="shared" ref="G253:G258" si="99">CLEAN("LET")</f>
        <v>LET</v>
      </c>
      <c r="H253" t="str">
        <f t="shared" ref="H253:H258" si="100">CLEAN("LET CONSTRUCTION         ")</f>
        <v xml:space="preserve">LET CONSTRUCTION         </v>
      </c>
      <c r="I253" t="str">
        <f>CLEAN("CONSTRUCTION/CULVERT REPLACEMENT   ")</f>
        <v xml:space="preserve">CONSTRUCTION/CULVERT REPLACEMENT   </v>
      </c>
      <c r="J253" t="str">
        <f t="shared" si="95"/>
        <v>USH 063</v>
      </c>
      <c r="K253" t="str">
        <f>CLEAN("BAYFIELD                      ")</f>
        <v xml:space="preserve">BAYFIELD                      </v>
      </c>
      <c r="L253" t="str">
        <f>CLEAN("DRUMMOND - USH 2                   ")</f>
        <v xml:space="preserve">DRUMMOND - USH 2                   </v>
      </c>
      <c r="M253" t="str">
        <f>CLEAN("MILL POND DAM                      ")</f>
        <v xml:space="preserve">MILL POND DAM                      </v>
      </c>
      <c r="N253">
        <v>0.38</v>
      </c>
      <c r="O253" t="str">
        <f t="shared" si="97"/>
        <v xml:space="preserve">          </v>
      </c>
      <c r="P2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4" spans="1:16" x14ac:dyDescent="0.25">
      <c r="A254" t="str">
        <f t="shared" si="96"/>
        <v>10</v>
      </c>
      <c r="B254" t="str">
        <f t="shared" si="87"/>
        <v>25</v>
      </c>
      <c r="C254" s="1">
        <v>45482</v>
      </c>
      <c r="D254" t="str">
        <f>CLEAN("1580-00-70")</f>
        <v>1580-00-70</v>
      </c>
      <c r="E254" t="str">
        <f t="shared" si="98"/>
        <v xml:space="preserve">303  </v>
      </c>
      <c r="F254" t="str">
        <f>CLEAN("$1,000,000 - $1,999,999  ")</f>
        <v xml:space="preserve">$1,000,000 - $1,999,999  </v>
      </c>
      <c r="G254" t="str">
        <f t="shared" si="99"/>
        <v>LET</v>
      </c>
      <c r="H254" t="str">
        <f t="shared" si="100"/>
        <v xml:space="preserve">LET CONSTRUCTION         </v>
      </c>
      <c r="I254" t="str">
        <f>CLEAN("CONSTRUCTION/BRIDGE REPLACEMENT    ")</f>
        <v xml:space="preserve">CONSTRUCTION/BRIDGE REPLACEMENT    </v>
      </c>
      <c r="J254" t="str">
        <f t="shared" ref="J254:J264" si="101">CLEAN("USH 008")</f>
        <v>USH 008</v>
      </c>
      <c r="K254" t="str">
        <f>CLEAN("RUSK                          ")</f>
        <v xml:space="preserve">RUSK                          </v>
      </c>
      <c r="L254" t="str">
        <f>CLEAN("CAMERON - LADYSMITH                ")</f>
        <v xml:space="preserve">CAMERON - LADYSMITH                </v>
      </c>
      <c r="M254" t="str">
        <f>CLEAN("LITTLE SOFT MAPLE CR BRG B-54-0131 ")</f>
        <v xml:space="preserve">LITTLE SOFT MAPLE CR BRG B-54-0131 </v>
      </c>
      <c r="N254">
        <v>0.123</v>
      </c>
      <c r="O254" t="str">
        <f t="shared" si="97"/>
        <v xml:space="preserve">          </v>
      </c>
      <c r="P25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55" spans="1:16" x14ac:dyDescent="0.25">
      <c r="A255" t="str">
        <f t="shared" si="96"/>
        <v>10</v>
      </c>
      <c r="B255" t="str">
        <f t="shared" si="87"/>
        <v>25</v>
      </c>
      <c r="C255" s="1">
        <v>45272</v>
      </c>
      <c r="D255" t="str">
        <f>CLEAN("1580-04-72")</f>
        <v>1580-04-72</v>
      </c>
      <c r="E255" t="str">
        <f t="shared" si="98"/>
        <v xml:space="preserve">303  </v>
      </c>
      <c r="F255" t="str">
        <f>CLEAN("$6,000,000 - $6,999,999  ")</f>
        <v xml:space="preserve">$6,000,000 - $6,999,999  </v>
      </c>
      <c r="G255" t="str">
        <f t="shared" si="99"/>
        <v>LET</v>
      </c>
      <c r="H255" t="str">
        <f t="shared" si="100"/>
        <v xml:space="preserve">LET CONSTRUCTION         </v>
      </c>
      <c r="I255" t="str">
        <f>CLEAN("CONSTRUCTION/RESURFACE             ")</f>
        <v xml:space="preserve">CONSTRUCTION/RESURFACE             </v>
      </c>
      <c r="J255" t="str">
        <f t="shared" si="101"/>
        <v>USH 008</v>
      </c>
      <c r="K255" t="str">
        <f>CLEAN("RUSK                          ")</f>
        <v xml:space="preserve">RUSK                          </v>
      </c>
      <c r="L255" t="str">
        <f>CLEAN("LADYSMITH - HAWKINS                ")</f>
        <v xml:space="preserve">LADYSMITH - HAWKINS                </v>
      </c>
      <c r="M255" t="str">
        <f>CLEAN("RIVER AVENUE TO PRENTICE STREET    ")</f>
        <v xml:space="preserve">RIVER AVENUE TO PRENTICE STREET    </v>
      </c>
      <c r="N255">
        <v>10.574999999999999</v>
      </c>
      <c r="O255" t="str">
        <f>CLEAN("1580-04-73")</f>
        <v>1580-04-73</v>
      </c>
      <c r="P25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56" spans="1:16" x14ac:dyDescent="0.25">
      <c r="A256" t="str">
        <f t="shared" si="96"/>
        <v>10</v>
      </c>
      <c r="B256" t="str">
        <f t="shared" si="87"/>
        <v>25</v>
      </c>
      <c r="C256" s="1">
        <v>45272</v>
      </c>
      <c r="D256" t="str">
        <f>CLEAN("1580-04-72")</f>
        <v>1580-04-72</v>
      </c>
      <c r="E256" t="str">
        <f t="shared" si="98"/>
        <v xml:space="preserve">303  </v>
      </c>
      <c r="F256" t="str">
        <f>CLEAN("$6,000,000 - $6,999,999  ")</f>
        <v xml:space="preserve">$6,000,000 - $6,999,999  </v>
      </c>
      <c r="G256" t="str">
        <f t="shared" si="99"/>
        <v>LET</v>
      </c>
      <c r="H256" t="str">
        <f t="shared" si="100"/>
        <v xml:space="preserve">LET CONSTRUCTION         </v>
      </c>
      <c r="I256" t="str">
        <f>CLEAN("CONSTRUCTION/RESURFACE             ")</f>
        <v xml:space="preserve">CONSTRUCTION/RESURFACE             </v>
      </c>
      <c r="J256" t="str">
        <f t="shared" si="101"/>
        <v>USH 008</v>
      </c>
      <c r="K256" t="str">
        <f>CLEAN("RUSK                          ")</f>
        <v xml:space="preserve">RUSK                          </v>
      </c>
      <c r="L256" t="str">
        <f>CLEAN("LADYSMITH - HAWKINS                ")</f>
        <v xml:space="preserve">LADYSMITH - HAWKINS                </v>
      </c>
      <c r="M256" t="str">
        <f>CLEAN("RIVER AVENUE TO PRENTICE STREET    ")</f>
        <v xml:space="preserve">RIVER AVENUE TO PRENTICE STREET    </v>
      </c>
      <c r="N256">
        <v>10.574999999999999</v>
      </c>
      <c r="O256" t="str">
        <f>CLEAN("1580-04-73")</f>
        <v>1580-04-73</v>
      </c>
      <c r="P256" t="str">
        <f t="shared" ref="P256:P264" si="10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7" spans="1:16" x14ac:dyDescent="0.25">
      <c r="A257" t="str">
        <f t="shared" si="96"/>
        <v>10</v>
      </c>
      <c r="B257" t="str">
        <f t="shared" si="87"/>
        <v>25</v>
      </c>
      <c r="C257" s="1">
        <v>45272</v>
      </c>
      <c r="D257" t="str">
        <f>CLEAN("1580-04-73")</f>
        <v>1580-04-73</v>
      </c>
      <c r="E257" t="str">
        <f t="shared" si="98"/>
        <v xml:space="preserve">303  </v>
      </c>
      <c r="F257" t="str">
        <f>CLEAN("$6,000,000 - $6,999,999  ")</f>
        <v xml:space="preserve">$6,000,000 - $6,999,999  </v>
      </c>
      <c r="G257" t="str">
        <f t="shared" si="99"/>
        <v>LET</v>
      </c>
      <c r="H257" t="str">
        <f t="shared" si="100"/>
        <v xml:space="preserve">LET CONSTRUCTION         </v>
      </c>
      <c r="I257" t="str">
        <f>CLEAN("CONSTRUCTION/RESURFACE             ")</f>
        <v xml:space="preserve">CONSTRUCTION/RESURFACE             </v>
      </c>
      <c r="J257" t="str">
        <f t="shared" si="101"/>
        <v>USH 008</v>
      </c>
      <c r="K257" t="str">
        <f>CLEAN("RUSK                          ")</f>
        <v xml:space="preserve">RUSK                          </v>
      </c>
      <c r="L257" t="str">
        <f>CLEAN("LADYSMITH - PRENTICE               ")</f>
        <v xml:space="preserve">LADYSMITH - PRENTICE               </v>
      </c>
      <c r="M257" t="str">
        <f>CLEAN("PRENTICE STREET TO RUSK/PRICE CO LN")</f>
        <v>PRENTICE STREET TO RUSK/PRICE CO LN</v>
      </c>
      <c r="N257">
        <v>11.141999999999999</v>
      </c>
      <c r="O257" t="str">
        <f>CLEAN("1580-04-72")</f>
        <v>1580-04-72</v>
      </c>
      <c r="P257" t="str">
        <f t="shared" si="102"/>
        <v xml:space="preserve">STATE 3R                                                                                            </v>
      </c>
    </row>
    <row r="258" spans="1:16" x14ac:dyDescent="0.25">
      <c r="A258" t="str">
        <f t="shared" si="96"/>
        <v>10</v>
      </c>
      <c r="B258" t="str">
        <f t="shared" ref="B258:B267" si="103">CLEAN("24")</f>
        <v>24</v>
      </c>
      <c r="C258" s="1">
        <v>45335</v>
      </c>
      <c r="D258" t="str">
        <f>CLEAN("1590-12-76")</f>
        <v>1590-12-76</v>
      </c>
      <c r="E258" t="str">
        <f t="shared" si="98"/>
        <v xml:space="preserve">303  </v>
      </c>
      <c r="F258" t="str">
        <f>CLEAN("$4,000,000 - $4,999,999  ")</f>
        <v xml:space="preserve">$4,000,000 - $4,999,999  </v>
      </c>
      <c r="G258" t="str">
        <f t="shared" si="99"/>
        <v>LET</v>
      </c>
      <c r="H258" t="str">
        <f t="shared" si="100"/>
        <v xml:space="preserve">LET CONSTRUCTION         </v>
      </c>
      <c r="I258" t="str">
        <f>CLEAN("CONST/PAVEMENT REPLACEMENT         ")</f>
        <v xml:space="preserve">CONST/PAVEMENT REPLACEMENT         </v>
      </c>
      <c r="J258" t="str">
        <f t="shared" si="101"/>
        <v>USH 008</v>
      </c>
      <c r="K258" t="str">
        <f>CLEAN("ONEIDA                        ")</f>
        <v xml:space="preserve">ONEIDA                        </v>
      </c>
      <c r="L258" t="str">
        <f>CLEAN("RHINELANDER - MONICO               ")</f>
        <v xml:space="preserve">RHINELANDER - MONICO               </v>
      </c>
      <c r="M258" t="str">
        <f>CLEAN("STH 17 NORTH TO CTH P              ")</f>
        <v xml:space="preserve">STH 17 NORTH TO CTH P              </v>
      </c>
      <c r="N258">
        <v>3.02</v>
      </c>
      <c r="O258" t="str">
        <f>CLEAN("          ")</f>
        <v xml:space="preserve">          </v>
      </c>
      <c r="P258" t="str">
        <f t="shared" si="102"/>
        <v xml:space="preserve">STATE 3R                                                                                            </v>
      </c>
    </row>
    <row r="259" spans="1:16" x14ac:dyDescent="0.25">
      <c r="A259" t="str">
        <f t="shared" si="96"/>
        <v>10</v>
      </c>
      <c r="B259" t="str">
        <f t="shared" si="103"/>
        <v>24</v>
      </c>
      <c r="C259" s="1">
        <v>45316</v>
      </c>
      <c r="D259" t="str">
        <f>CLEAN("1590-14-26")</f>
        <v>1590-14-26</v>
      </c>
      <c r="E259" t="str">
        <f t="shared" si="98"/>
        <v xml:space="preserve">303  </v>
      </c>
      <c r="F259" t="str">
        <f>CLEAN("$0 - $99,999             ")</f>
        <v xml:space="preserve">$0 - $99,999             </v>
      </c>
      <c r="G259" t="str">
        <f>CLEAN("R/E")</f>
        <v>R/E</v>
      </c>
      <c r="H259" t="str">
        <f>CLEAN("NONLET CONSTR/REAL ESTATE")</f>
        <v>NONLET CONSTR/REAL ESTATE</v>
      </c>
      <c r="I259" t="str">
        <f>CLEAN("REAL ESTATE/RESURFACE              ")</f>
        <v xml:space="preserve">REAL ESTATE/RESURFACE              </v>
      </c>
      <c r="J259" t="str">
        <f t="shared" si="101"/>
        <v>USH 008</v>
      </c>
      <c r="K259" t="str">
        <f>CLEAN("LINCOLN                       ")</f>
        <v xml:space="preserve">LINCOLN                       </v>
      </c>
      <c r="L259" t="str">
        <f>CLEAN("PRENTICE - BRADLEY                 ")</f>
        <v xml:space="preserve">PRENTICE - BRADLEY                 </v>
      </c>
      <c r="M259" t="str">
        <f>CLEAN("CTH A INTERSECTION                 ")</f>
        <v xml:space="preserve">CTH A INTERSECTION                 </v>
      </c>
      <c r="N259">
        <v>0.28999999999999998</v>
      </c>
      <c r="O259" t="str">
        <f>CLEAN("          ")</f>
        <v xml:space="preserve">          </v>
      </c>
      <c r="P259" t="str">
        <f t="shared" si="102"/>
        <v xml:space="preserve">STATE 3R                                                                                            </v>
      </c>
    </row>
    <row r="260" spans="1:16" x14ac:dyDescent="0.25">
      <c r="A260" t="str">
        <f t="shared" si="96"/>
        <v>10</v>
      </c>
      <c r="B260" t="str">
        <f t="shared" si="103"/>
        <v>24</v>
      </c>
      <c r="C260" s="1">
        <v>45376</v>
      </c>
      <c r="D260" t="str">
        <f>CLEAN("1590-14-52")</f>
        <v>1590-14-52</v>
      </c>
      <c r="E260" t="str">
        <f t="shared" si="98"/>
        <v xml:space="preserve">303  </v>
      </c>
      <c r="F260" t="str">
        <f>CLEAN("$250,000 - $499,999      ")</f>
        <v xml:space="preserve">$250,000 - $499,999      </v>
      </c>
      <c r="G260" t="str">
        <f>CLEAN("R/R")</f>
        <v>R/R</v>
      </c>
      <c r="H260" t="str">
        <f>CLEAN("NONLET CONSTR/REAL ESTATE")</f>
        <v>NONLET CONSTR/REAL ESTATE</v>
      </c>
      <c r="I260" t="str">
        <f>CLEAN("RR OPS/XING SURFACE 855242H        ")</f>
        <v xml:space="preserve">RR OPS/XING SURFACE 855242H        </v>
      </c>
      <c r="J260" t="str">
        <f t="shared" si="101"/>
        <v>USH 008</v>
      </c>
      <c r="K260" t="str">
        <f>CLEAN("LINCOLN                       ")</f>
        <v xml:space="preserve">LINCOLN                       </v>
      </c>
      <c r="L260" t="str">
        <f>CLEAN("PRENTICE - BRADLEY                 ")</f>
        <v xml:space="preserve">PRENTICE - BRADLEY                 </v>
      </c>
      <c r="M260" t="str">
        <f>CLEAN("MCCORD ROAD TO CTH L               ")</f>
        <v xml:space="preserve">MCCORD ROAD TO CTH L               </v>
      </c>
      <c r="N260">
        <v>0</v>
      </c>
      <c r="O260" t="str">
        <f>CLEAN("          ")</f>
        <v xml:space="preserve">          </v>
      </c>
      <c r="P260" t="str">
        <f t="shared" si="102"/>
        <v xml:space="preserve">STATE 3R                                                                                            </v>
      </c>
    </row>
    <row r="261" spans="1:16" x14ac:dyDescent="0.25">
      <c r="A261" t="str">
        <f t="shared" si="96"/>
        <v>10</v>
      </c>
      <c r="B261" t="str">
        <f t="shared" si="103"/>
        <v>24</v>
      </c>
      <c r="C261" s="1">
        <v>45517</v>
      </c>
      <c r="D261" t="str">
        <f>CLEAN("1590-14-72")</f>
        <v>1590-14-72</v>
      </c>
      <c r="E261" t="str">
        <f t="shared" si="98"/>
        <v xml:space="preserve">303  </v>
      </c>
      <c r="F261" t="str">
        <f>CLEAN("$3,000,000 - $3,999,999  ")</f>
        <v xml:space="preserve">$3,000,000 - $3,999,999  </v>
      </c>
      <c r="G261" t="str">
        <f>CLEAN("LET")</f>
        <v>LET</v>
      </c>
      <c r="H261" t="str">
        <f>CLEAN("LET CONSTRUCTION         ")</f>
        <v xml:space="preserve">LET CONSTRUCTION         </v>
      </c>
      <c r="I261" t="str">
        <f>CLEAN("CONST/RESURFACE                    ")</f>
        <v xml:space="preserve">CONST/RESURFACE                    </v>
      </c>
      <c r="J261" t="str">
        <f t="shared" si="101"/>
        <v>USH 008</v>
      </c>
      <c r="K261" t="str">
        <f>CLEAN("LINCOLN                       ")</f>
        <v xml:space="preserve">LINCOLN                       </v>
      </c>
      <c r="L261" t="str">
        <f>CLEAN("PRENTICE - BRADLEY                 ")</f>
        <v xml:space="preserve">PRENTICE - BRADLEY                 </v>
      </c>
      <c r="M261" t="str">
        <f>CLEAN("MCCORD ROAD TO CTH L               ")</f>
        <v xml:space="preserve">MCCORD ROAD TO CTH L               </v>
      </c>
      <c r="N261">
        <v>9.23</v>
      </c>
      <c r="O261" t="str">
        <f>CLEAN("          ")</f>
        <v xml:space="preserve">          </v>
      </c>
      <c r="P261" t="str">
        <f t="shared" si="102"/>
        <v xml:space="preserve">STATE 3R                                                                                            </v>
      </c>
    </row>
    <row r="262" spans="1:16" x14ac:dyDescent="0.25">
      <c r="A262" t="str">
        <f t="shared" si="96"/>
        <v>10</v>
      </c>
      <c r="B262" t="str">
        <f t="shared" si="103"/>
        <v>24</v>
      </c>
      <c r="C262" s="1">
        <v>45363</v>
      </c>
      <c r="D262" t="str">
        <f>CLEAN("1590-18-70")</f>
        <v>1590-18-70</v>
      </c>
      <c r="E262" t="str">
        <f t="shared" si="98"/>
        <v xml:space="preserve">303  </v>
      </c>
      <c r="F262" t="str">
        <f>CLEAN("$250,000 - $499,999      ")</f>
        <v xml:space="preserve">$250,000 - $499,999      </v>
      </c>
      <c r="G262" t="str">
        <f>CLEAN("LET")</f>
        <v>LET</v>
      </c>
      <c r="H262" t="str">
        <f>CLEAN("LET CONSTRUCTION         ")</f>
        <v xml:space="preserve">LET CONSTRUCTION         </v>
      </c>
      <c r="I262" t="str">
        <f>CLEAN("CONST/RESURFACE                    ")</f>
        <v xml:space="preserve">CONST/RESURFACE                    </v>
      </c>
      <c r="J262" t="str">
        <f t="shared" si="101"/>
        <v>USH 008</v>
      </c>
      <c r="K262" t="str">
        <f>CLEAN("FOREST                        ")</f>
        <v xml:space="preserve">FOREST                        </v>
      </c>
      <c r="L262" t="str">
        <f>CLEAN("C CRANDON, LAKE AVENUE             ")</f>
        <v xml:space="preserve">C CRANDON, LAKE AVENUE             </v>
      </c>
      <c r="M262" t="str">
        <f>CLEAN("GLEN STREET TO PIONEER STREET      ")</f>
        <v xml:space="preserve">GLEN STREET TO PIONEER STREET      </v>
      </c>
      <c r="N262">
        <v>0.56799999999999995</v>
      </c>
      <c r="O262" t="str">
        <f>CLEAN("1590-18-72")</f>
        <v>1590-18-72</v>
      </c>
      <c r="P262" t="str">
        <f t="shared" si="102"/>
        <v xml:space="preserve">STATE 3R                                                                                            </v>
      </c>
    </row>
    <row r="263" spans="1:16" x14ac:dyDescent="0.25">
      <c r="A263" t="str">
        <f t="shared" si="96"/>
        <v>10</v>
      </c>
      <c r="B263" t="str">
        <f t="shared" si="103"/>
        <v>24</v>
      </c>
      <c r="C263" s="1">
        <v>45363</v>
      </c>
      <c r="D263" t="str">
        <f>CLEAN("1590-18-72")</f>
        <v>1590-18-72</v>
      </c>
      <c r="E263" t="str">
        <f t="shared" si="98"/>
        <v xml:space="preserve">303  </v>
      </c>
      <c r="F263" t="str">
        <f>CLEAN("$250,000 - $499,999      ")</f>
        <v xml:space="preserve">$250,000 - $499,999      </v>
      </c>
      <c r="G263" t="str">
        <f>CLEAN("LET")</f>
        <v>LET</v>
      </c>
      <c r="H263" t="str">
        <f>CLEAN("LET CONSTRUCTION         ")</f>
        <v xml:space="preserve">LET CONSTRUCTION         </v>
      </c>
      <c r="I263" t="str">
        <f>CLEAN("CONST/RESURFACE                    ")</f>
        <v xml:space="preserve">CONST/RESURFACE                    </v>
      </c>
      <c r="J263" t="str">
        <f t="shared" si="101"/>
        <v>USH 008</v>
      </c>
      <c r="K263" t="str">
        <f>CLEAN("FOREST                        ")</f>
        <v xml:space="preserve">FOREST                        </v>
      </c>
      <c r="L263" t="str">
        <f>CLEAN("C CRANDON, W GLEN STREET           ")</f>
        <v xml:space="preserve">C CRANDON, W GLEN STREET           </v>
      </c>
      <c r="M263" t="str">
        <f>CLEAN("BOULEVARD AVENUE TO LAKE AVENUE    ")</f>
        <v xml:space="preserve">BOULEVARD AVENUE TO LAKE AVENUE    </v>
      </c>
      <c r="N263">
        <v>0.312</v>
      </c>
      <c r="O263" t="str">
        <f>CLEAN("1590-18-70")</f>
        <v>1590-18-70</v>
      </c>
      <c r="P263" t="str">
        <f t="shared" si="102"/>
        <v xml:space="preserve">STATE 3R                                                                                            </v>
      </c>
    </row>
    <row r="264" spans="1:16" x14ac:dyDescent="0.25">
      <c r="A264" t="str">
        <f t="shared" si="96"/>
        <v>10</v>
      </c>
      <c r="B264" t="str">
        <f t="shared" si="103"/>
        <v>24</v>
      </c>
      <c r="C264" s="1">
        <v>45347</v>
      </c>
      <c r="D264" t="str">
        <f>CLEAN("1590-19-20")</f>
        <v>1590-19-20</v>
      </c>
      <c r="E264" t="str">
        <f t="shared" si="98"/>
        <v xml:space="preserve">303  </v>
      </c>
      <c r="F264" t="str">
        <f>CLEAN("$0 - $99,999             ")</f>
        <v xml:space="preserve">$0 - $99,999             </v>
      </c>
      <c r="G264" t="str">
        <f>CLEAN("R/E")</f>
        <v>R/E</v>
      </c>
      <c r="H264" t="str">
        <f>CLEAN("NONLET CONSTR/REAL ESTATE")</f>
        <v>NONLET CONSTR/REAL ESTATE</v>
      </c>
      <c r="I264" t="str">
        <f>CLEAN("REAL ESTATE/RESURFACE              ")</f>
        <v xml:space="preserve">REAL ESTATE/RESURFACE              </v>
      </c>
      <c r="J264" t="str">
        <f t="shared" si="101"/>
        <v>USH 008</v>
      </c>
      <c r="K264" t="str">
        <f>CLEAN("FOREST                        ")</f>
        <v xml:space="preserve">FOREST                        </v>
      </c>
      <c r="L264" t="str">
        <f>CLEAN("LAONA - GOODMAN                    ")</f>
        <v xml:space="preserve">LAONA - GOODMAN                    </v>
      </c>
      <c r="M264" t="str">
        <f>CLEAN("S JCT STH 32 TO PESHTIGO RVR BRIDGE")</f>
        <v>S JCT STH 32 TO PESHTIGO RVR BRIDGE</v>
      </c>
      <c r="N264">
        <v>7.43</v>
      </c>
      <c r="O264" t="str">
        <f>CLEAN("          ")</f>
        <v xml:space="preserve">          </v>
      </c>
      <c r="P264" t="str">
        <f t="shared" si="102"/>
        <v xml:space="preserve">STATE 3R                                                                                            </v>
      </c>
    </row>
    <row r="265" spans="1:16" x14ac:dyDescent="0.25">
      <c r="A265" t="str">
        <f t="shared" si="96"/>
        <v>10</v>
      </c>
      <c r="B265" t="str">
        <f t="shared" si="103"/>
        <v>24</v>
      </c>
      <c r="C265" s="1">
        <v>45391</v>
      </c>
      <c r="D265" t="str">
        <f>CLEAN("1600-02-70")</f>
        <v>1600-02-70</v>
      </c>
      <c r="E265" t="str">
        <f t="shared" si="98"/>
        <v xml:space="preserve">303  </v>
      </c>
      <c r="F265" t="str">
        <f>CLEAN("$5,000,000 - $5,999,999  ")</f>
        <v xml:space="preserve">$5,000,000 - $5,999,999  </v>
      </c>
      <c r="G265" t="str">
        <f>CLEAN("LET")</f>
        <v>LET</v>
      </c>
      <c r="H265" t="str">
        <f>CLEAN("LET CONSTRUCTION         ")</f>
        <v xml:space="preserve">LET CONSTRUCTION         </v>
      </c>
      <c r="I265" t="str">
        <f>CLEAN("CONST/RESURFACE                    ")</f>
        <v xml:space="preserve">CONST/RESURFACE                    </v>
      </c>
      <c r="J265" t="str">
        <f>CLEAN("USH 045")</f>
        <v>USH 045</v>
      </c>
      <c r="K265" t="str">
        <f>CLEAN("SHAWANO                       ")</f>
        <v xml:space="preserve">SHAWANO                       </v>
      </c>
      <c r="L265" t="str">
        <f>CLEAN("WITTENBERG - ANTIGO                ")</f>
        <v xml:space="preserve">WITTENBERG - ANTIGO                </v>
      </c>
      <c r="M265" t="str">
        <f>CLEAN("STH 29 TO LANGLADE COUNTY LINE     ")</f>
        <v xml:space="preserve">STH 29 TO LANGLADE COUNTY LINE     </v>
      </c>
      <c r="N265">
        <v>15.103</v>
      </c>
      <c r="O265" t="str">
        <f>CLEAN("          ")</f>
        <v xml:space="preserve">          </v>
      </c>
      <c r="P26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6" spans="1:16" x14ac:dyDescent="0.25">
      <c r="A266" t="str">
        <f t="shared" si="96"/>
        <v>10</v>
      </c>
      <c r="B266" t="str">
        <f t="shared" si="103"/>
        <v>24</v>
      </c>
      <c r="C266" s="1">
        <v>45391</v>
      </c>
      <c r="D266" t="str">
        <f>CLEAN("1600-02-70")</f>
        <v>1600-02-70</v>
      </c>
      <c r="E266" t="str">
        <f t="shared" si="98"/>
        <v xml:space="preserve">303  </v>
      </c>
      <c r="F266" t="str">
        <f>CLEAN("$5,000,000 - $5,999,999  ")</f>
        <v xml:space="preserve">$5,000,000 - $5,999,999  </v>
      </c>
      <c r="G266" t="str">
        <f>CLEAN("LET")</f>
        <v>LET</v>
      </c>
      <c r="H266" t="str">
        <f>CLEAN("LET CONSTRUCTION         ")</f>
        <v xml:space="preserve">LET CONSTRUCTION         </v>
      </c>
      <c r="I266" t="str">
        <f>CLEAN("CONST/RESURFACE                    ")</f>
        <v xml:space="preserve">CONST/RESURFACE                    </v>
      </c>
      <c r="J266" t="str">
        <f>CLEAN("USH 045")</f>
        <v>USH 045</v>
      </c>
      <c r="K266" t="str">
        <f>CLEAN("SHAWANO                       ")</f>
        <v xml:space="preserve">SHAWANO                       </v>
      </c>
      <c r="L266" t="str">
        <f>CLEAN("WITTENBERG - ANTIGO                ")</f>
        <v xml:space="preserve">WITTENBERG - ANTIGO                </v>
      </c>
      <c r="M266" t="str">
        <f>CLEAN("STH 29 TO LANGLADE COUNTY LINE     ")</f>
        <v xml:space="preserve">STH 29 TO LANGLADE COUNTY LINE     </v>
      </c>
      <c r="N266">
        <v>15.103</v>
      </c>
      <c r="O266" t="str">
        <f>CLEAN("          ")</f>
        <v xml:space="preserve">          </v>
      </c>
      <c r="P266" t="str">
        <f t="shared" ref="P266:P283" si="104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67" spans="1:16" x14ac:dyDescent="0.25">
      <c r="A267" t="str">
        <f t="shared" si="96"/>
        <v>10</v>
      </c>
      <c r="B267" t="str">
        <f t="shared" si="103"/>
        <v>24</v>
      </c>
      <c r="C267" s="1">
        <v>45545</v>
      </c>
      <c r="D267" t="str">
        <f>CLEAN("1602-10-71")</f>
        <v>1602-10-71</v>
      </c>
      <c r="E267" t="str">
        <f t="shared" si="98"/>
        <v xml:space="preserve">303  </v>
      </c>
      <c r="F267" t="str">
        <f>CLEAN("$3,000,000 - $3,999,999  ")</f>
        <v xml:space="preserve">$3,000,000 - $3,999,999  </v>
      </c>
      <c r="G267" t="str">
        <f>CLEAN("LET")</f>
        <v>LET</v>
      </c>
      <c r="H267" t="str">
        <f>CLEAN("LET CONSTRUCTION         ")</f>
        <v xml:space="preserve">LET CONSTRUCTION         </v>
      </c>
      <c r="I267" t="str">
        <f>CLEAN("CONST/PAVEMENT REPLACEMENT         ")</f>
        <v xml:space="preserve">CONST/PAVEMENT REPLACEMENT         </v>
      </c>
      <c r="J267" t="str">
        <f>CLEAN("USH 045")</f>
        <v>USH 045</v>
      </c>
      <c r="K267" t="str">
        <f>CLEAN("LANGLADE                      ")</f>
        <v xml:space="preserve">LANGLADE                      </v>
      </c>
      <c r="L267" t="str">
        <f>CLEAN("T ELCHO, ANTIGO STREET             ")</f>
        <v xml:space="preserve">T ELCHO, ANTIGO STREET             </v>
      </c>
      <c r="M267" t="str">
        <f>CLEAN("CLINIC STREET TO OTTER LAKE LANE   ")</f>
        <v xml:space="preserve">CLINIC STREET TO OTTER LAKE LANE   </v>
      </c>
      <c r="N267">
        <v>0.66600000000000004</v>
      </c>
      <c r="O267" t="str">
        <f>CLEAN("          ")</f>
        <v xml:space="preserve">          </v>
      </c>
      <c r="P267" t="str">
        <f t="shared" si="104"/>
        <v xml:space="preserve">STATE 3R                                                                                            </v>
      </c>
    </row>
    <row r="268" spans="1:16" x14ac:dyDescent="0.25">
      <c r="A268" t="str">
        <f t="shared" si="96"/>
        <v>10</v>
      </c>
      <c r="B268" t="str">
        <f>CLEAN("25")</f>
        <v>25</v>
      </c>
      <c r="C268" s="1">
        <v>45621</v>
      </c>
      <c r="D268" t="str">
        <f>CLEAN("1610-00-21")</f>
        <v>1610-00-21</v>
      </c>
      <c r="E268" t="str">
        <f t="shared" si="98"/>
        <v xml:space="preserve">303  </v>
      </c>
      <c r="F268" t="str">
        <f>CLEAN("$0 - $99,999             ")</f>
        <v xml:space="preserve">$0 - $99,999             </v>
      </c>
      <c r="G268" t="str">
        <f>CLEAN("R/E")</f>
        <v>R/E</v>
      </c>
      <c r="H268" t="str">
        <f>CLEAN("NONLET CONSTR/REAL ESTATE")</f>
        <v>NONLET CONSTR/REAL ESTATE</v>
      </c>
      <c r="I268" t="str">
        <f>CLEAN("REAL ESTATE ACQUISITION            ")</f>
        <v xml:space="preserve">REAL ESTATE ACQUISITION            </v>
      </c>
      <c r="J268" t="str">
        <f t="shared" ref="J268:J277" si="105">CLEAN("STH 013")</f>
        <v>STH 013</v>
      </c>
      <c r="K268" t="str">
        <f>CLEAN("ASHLAND                       ")</f>
        <v xml:space="preserve">ASHLAND                       </v>
      </c>
      <c r="L268" t="str">
        <f>CLEAN("PARK FALLS - MELLEN                ")</f>
        <v xml:space="preserve">PARK FALLS - MELLEN                </v>
      </c>
      <c r="M268" t="str">
        <f>CLEAN("PRICE CO LINE TO MORSE ROAD        ")</f>
        <v xml:space="preserve">PRICE CO LINE TO MORSE ROAD        </v>
      </c>
      <c r="N268">
        <v>0</v>
      </c>
      <c r="O268" t="str">
        <f>CLEAN("          ")</f>
        <v xml:space="preserve">          </v>
      </c>
      <c r="P268" t="str">
        <f t="shared" si="104"/>
        <v xml:space="preserve">STATE 3R                                                                                            </v>
      </c>
    </row>
    <row r="269" spans="1:16" x14ac:dyDescent="0.25">
      <c r="A269" t="str">
        <f t="shared" si="96"/>
        <v>10</v>
      </c>
      <c r="B269" t="str">
        <f>CLEAN("25")</f>
        <v>25</v>
      </c>
      <c r="C269" s="1">
        <v>45608</v>
      </c>
      <c r="D269" t="str">
        <f>CLEAN("1610-00-77")</f>
        <v>1610-00-77</v>
      </c>
      <c r="E269" t="str">
        <f t="shared" si="98"/>
        <v xml:space="preserve">303  </v>
      </c>
      <c r="F269" t="str">
        <f>CLEAN("$8,000,000 - $8,999,999  ")</f>
        <v xml:space="preserve">$8,000,000 - $8,999,999  </v>
      </c>
      <c r="G269" t="str">
        <f>CLEAN("LET")</f>
        <v>LET</v>
      </c>
      <c r="H269" t="str">
        <f>CLEAN("LET CONSTRUCTION         ")</f>
        <v xml:space="preserve">LET CONSTRUCTION         </v>
      </c>
      <c r="I269" t="str">
        <f>CLEAN("CONSTRUCTION/RESURFACE             ")</f>
        <v xml:space="preserve">CONSTRUCTION/RESURFACE             </v>
      </c>
      <c r="J269" t="str">
        <f t="shared" si="105"/>
        <v>STH 013</v>
      </c>
      <c r="K269" t="str">
        <f>CLEAN("ASHLAND                       ")</f>
        <v xml:space="preserve">ASHLAND                       </v>
      </c>
      <c r="L269" t="str">
        <f>CLEAN("MELLEN - ASHLAND                   ")</f>
        <v xml:space="preserve">MELLEN - ASHLAND                   </v>
      </c>
      <c r="M269" t="str">
        <f>CLEAN("BUTTERWORTH RD TO USH 2            ")</f>
        <v xml:space="preserve">BUTTERWORTH RD TO USH 2            </v>
      </c>
      <c r="N269">
        <v>3.68</v>
      </c>
      <c r="O269" t="str">
        <f>CLEAN("1610-00-80")</f>
        <v>1610-00-80</v>
      </c>
      <c r="P269" t="str">
        <f t="shared" si="104"/>
        <v xml:space="preserve">STATE 3R                                                                                            </v>
      </c>
    </row>
    <row r="270" spans="1:16" x14ac:dyDescent="0.25">
      <c r="A270" t="str">
        <f t="shared" si="96"/>
        <v>10</v>
      </c>
      <c r="B270" t="str">
        <f>CLEAN("25")</f>
        <v>25</v>
      </c>
      <c r="C270" s="1">
        <v>45608</v>
      </c>
      <c r="D270" t="str">
        <f>CLEAN("1610-00-80")</f>
        <v>1610-00-80</v>
      </c>
      <c r="E270" t="str">
        <f t="shared" si="98"/>
        <v xml:space="preserve">303  </v>
      </c>
      <c r="F270" t="str">
        <f>CLEAN("$750,000 - $999,999      ")</f>
        <v xml:space="preserve">$750,000 - $999,999      </v>
      </c>
      <c r="G270" t="str">
        <f>CLEAN("LET")</f>
        <v>LET</v>
      </c>
      <c r="H270" t="str">
        <f>CLEAN("LET CONSTRUCTION         ")</f>
        <v xml:space="preserve">LET CONSTRUCTION         </v>
      </c>
      <c r="I270" t="str">
        <f>CLEAN("CONSTRUCTION/LOCAL UTILITIES       ")</f>
        <v xml:space="preserve">CONSTRUCTION/LOCAL UTILITIES       </v>
      </c>
      <c r="J270" t="str">
        <f t="shared" si="105"/>
        <v>STH 013</v>
      </c>
      <c r="K270" t="str">
        <f>CLEAN("ASHLAND                       ")</f>
        <v xml:space="preserve">ASHLAND                       </v>
      </c>
      <c r="L270" t="str">
        <f>CLEAN("MELLEN - ASHLAND                   ")</f>
        <v xml:space="preserve">MELLEN - ASHLAND                   </v>
      </c>
      <c r="M270" t="str">
        <f>CLEAN("BUTTERWORTH RD TO USH 2            ")</f>
        <v xml:space="preserve">BUTTERWORTH RD TO USH 2            </v>
      </c>
      <c r="N270">
        <v>2.68</v>
      </c>
      <c r="O270" t="str">
        <f>CLEAN("1610-00-77")</f>
        <v>1610-00-77</v>
      </c>
      <c r="P270" t="str">
        <f t="shared" si="104"/>
        <v xml:space="preserve">STATE 3R                                                                                            </v>
      </c>
    </row>
    <row r="271" spans="1:16" x14ac:dyDescent="0.25">
      <c r="A271" t="str">
        <f t="shared" si="96"/>
        <v>10</v>
      </c>
      <c r="B271" t="str">
        <f>CLEAN("25")</f>
        <v>25</v>
      </c>
      <c r="C271" s="1">
        <v>45621</v>
      </c>
      <c r="D271" t="str">
        <f>CLEAN("1610-01-21")</f>
        <v>1610-01-21</v>
      </c>
      <c r="E271" t="str">
        <f t="shared" si="98"/>
        <v xml:space="preserve">303  </v>
      </c>
      <c r="F271" t="str">
        <f>CLEAN("$0 - $99,999             ")</f>
        <v xml:space="preserve">$0 - $99,999             </v>
      </c>
      <c r="G271" t="str">
        <f>CLEAN("R/E")</f>
        <v>R/E</v>
      </c>
      <c r="H271" t="str">
        <f>CLEAN("NONLET CONSTR/REAL ESTATE")</f>
        <v>NONLET CONSTR/REAL ESTATE</v>
      </c>
      <c r="I271" t="str">
        <f>CLEAN("REAL ESTATE ACQUISITION            ")</f>
        <v xml:space="preserve">REAL ESTATE ACQUISITION            </v>
      </c>
      <c r="J271" t="str">
        <f t="shared" si="105"/>
        <v>STH 013</v>
      </c>
      <c r="K271" t="str">
        <f>CLEAN("TAYLOR                        ")</f>
        <v xml:space="preserve">TAYLOR                        </v>
      </c>
      <c r="L271" t="str">
        <f>CLEAN("MEDFORD - PRENTICE                 ")</f>
        <v xml:space="preserve">MEDFORD - PRENTICE                 </v>
      </c>
      <c r="M271" t="str">
        <f>CLEAN("CTH M E TO STH 102                 ")</f>
        <v xml:space="preserve">CTH M E TO STH 102                 </v>
      </c>
      <c r="N271">
        <v>5.7539999999999996</v>
      </c>
      <c r="O271" t="str">
        <f>CLEAN("          ")</f>
        <v xml:space="preserve">          </v>
      </c>
      <c r="P271" t="str">
        <f t="shared" si="104"/>
        <v xml:space="preserve">STATE 3R                                                                                            </v>
      </c>
    </row>
    <row r="272" spans="1:16" x14ac:dyDescent="0.25">
      <c r="A272" t="str">
        <f t="shared" si="96"/>
        <v>10</v>
      </c>
      <c r="B272" t="str">
        <f>CLEAN("25")</f>
        <v>25</v>
      </c>
      <c r="C272" s="1">
        <v>45316</v>
      </c>
      <c r="D272" t="str">
        <f>CLEAN("1610-02-23")</f>
        <v>1610-02-23</v>
      </c>
      <c r="E272" t="str">
        <f t="shared" si="98"/>
        <v xml:space="preserve">303  </v>
      </c>
      <c r="F272" t="str">
        <f>CLEAN("$0 - $99,999             ")</f>
        <v xml:space="preserve">$0 - $99,999             </v>
      </c>
      <c r="G272" t="str">
        <f>CLEAN("R/E")</f>
        <v>R/E</v>
      </c>
      <c r="H272" t="str">
        <f>CLEAN("NONLET CONSTR/REAL ESTATE")</f>
        <v>NONLET CONSTR/REAL ESTATE</v>
      </c>
      <c r="I272" t="str">
        <f>CLEAN("REAL ESTATE ACQUISITION            ")</f>
        <v xml:space="preserve">REAL ESTATE ACQUISITION            </v>
      </c>
      <c r="J272" t="str">
        <f t="shared" si="105"/>
        <v>STH 013</v>
      </c>
      <c r="K272" t="str">
        <f>CLEAN("CLARK                         ")</f>
        <v xml:space="preserve">CLARK                         </v>
      </c>
      <c r="L272" t="str">
        <f>CLEAN("ABBOTSFORD - MEDFORD               ")</f>
        <v xml:space="preserve">ABBOTSFORD - MEDFORD               </v>
      </c>
      <c r="M272" t="str">
        <f>CLEAN("PORKY CREEK B-10-0240 &amp; B-10-0241  ")</f>
        <v xml:space="preserve">PORKY CREEK B-10-0240 &amp; B-10-0241  </v>
      </c>
      <c r="N272">
        <v>0</v>
      </c>
      <c r="O272" t="str">
        <f>CLEAN("          ")</f>
        <v xml:space="preserve">          </v>
      </c>
      <c r="P272" t="str">
        <f t="shared" si="104"/>
        <v xml:space="preserve">STATE 3R                                                                                            </v>
      </c>
    </row>
    <row r="273" spans="1:16" x14ac:dyDescent="0.25">
      <c r="A273" t="str">
        <f t="shared" si="96"/>
        <v>10</v>
      </c>
      <c r="B273" t="str">
        <f>CLEAN("24")</f>
        <v>24</v>
      </c>
      <c r="C273" s="1">
        <v>45545</v>
      </c>
      <c r="D273" t="str">
        <f>CLEAN("1610-44-71")</f>
        <v>1610-44-71</v>
      </c>
      <c r="E273" t="str">
        <f t="shared" si="98"/>
        <v xml:space="preserve">303  </v>
      </c>
      <c r="F273" t="str">
        <f>CLEAN("$3,000,000 - $3,999,999  ")</f>
        <v xml:space="preserve">$3,000,000 - $3,999,999  </v>
      </c>
      <c r="G273" t="str">
        <f>CLEAN("LET")</f>
        <v>LET</v>
      </c>
      <c r="H273" t="str">
        <f>CLEAN("LET CONSTRUCTION         ")</f>
        <v xml:space="preserve">LET CONSTRUCTION         </v>
      </c>
      <c r="I273" t="str">
        <f>CLEAN("CONST/PVRPLA                       ")</f>
        <v xml:space="preserve">CONST/PVRPLA                       </v>
      </c>
      <c r="J273" t="str">
        <f t="shared" si="105"/>
        <v>STH 013</v>
      </c>
      <c r="K273" t="str">
        <f>CLEAN("PRICE                         ")</f>
        <v xml:space="preserve">PRICE                         </v>
      </c>
      <c r="L273" t="str">
        <f>CLEAN("C PHILLIPS, LAKE STREET            ")</f>
        <v xml:space="preserve">C PHILLIPS, LAKE STREET            </v>
      </c>
      <c r="M273" t="str">
        <f>CLEAN("CTH D TO CTH F                     ")</f>
        <v xml:space="preserve">CTH D TO CTH F                     </v>
      </c>
      <c r="N273">
        <v>1.925</v>
      </c>
      <c r="O273" t="str">
        <f>CLEAN("          ")</f>
        <v xml:space="preserve">          </v>
      </c>
      <c r="P273" t="str">
        <f t="shared" si="104"/>
        <v xml:space="preserve">STATE 3R                                                                                            </v>
      </c>
    </row>
    <row r="274" spans="1:16" x14ac:dyDescent="0.25">
      <c r="A274" t="str">
        <f t="shared" si="96"/>
        <v>10</v>
      </c>
      <c r="B274" t="str">
        <f>CLEAN("24")</f>
        <v>24</v>
      </c>
      <c r="C274" s="1">
        <v>45545</v>
      </c>
      <c r="D274" t="str">
        <f>CLEAN("1610-44-72")</f>
        <v>1610-44-72</v>
      </c>
      <c r="E274" t="str">
        <f t="shared" si="98"/>
        <v xml:space="preserve">303  </v>
      </c>
      <c r="F274" t="str">
        <f>CLEAN("$6,000,000 - $6,999,999  ")</f>
        <v xml:space="preserve">$6,000,000 - $6,999,999  </v>
      </c>
      <c r="G274" t="str">
        <f>CLEAN("LET")</f>
        <v>LET</v>
      </c>
      <c r="H274" t="str">
        <f>CLEAN("LET CONSTRUCTION         ")</f>
        <v xml:space="preserve">LET CONSTRUCTION         </v>
      </c>
      <c r="I274" t="str">
        <f>CLEAN("CONST/RESURFACE                    ")</f>
        <v xml:space="preserve">CONST/RESURFACE                    </v>
      </c>
      <c r="J274" t="str">
        <f t="shared" si="105"/>
        <v>STH 013</v>
      </c>
      <c r="K274" t="str">
        <f>CLEAN("PRICE                         ")</f>
        <v xml:space="preserve">PRICE                         </v>
      </c>
      <c r="L274" t="str">
        <f>CLEAN("PRENTICE - PARK FALLS              ")</f>
        <v xml:space="preserve">PRENTICE - PARK FALLS              </v>
      </c>
      <c r="M274" t="str">
        <f>CLEAN("CTH F TO WALNUT STREET             ")</f>
        <v xml:space="preserve">CTH F TO WALNUT STREET             </v>
      </c>
      <c r="N274">
        <v>12.217000000000001</v>
      </c>
      <c r="O274" t="str">
        <f>CLEAN("          ")</f>
        <v xml:space="preserve">          </v>
      </c>
      <c r="P274" t="str">
        <f t="shared" si="104"/>
        <v xml:space="preserve">STATE 3R                                                                                            </v>
      </c>
    </row>
    <row r="275" spans="1:16" x14ac:dyDescent="0.25">
      <c r="A275" t="str">
        <f t="shared" si="96"/>
        <v>10</v>
      </c>
      <c r="B275" t="str">
        <f>CLEAN("24")</f>
        <v>24</v>
      </c>
      <c r="C275" s="1">
        <v>45285</v>
      </c>
      <c r="D275" t="str">
        <f>CLEAN("1620-01-52")</f>
        <v>1620-01-52</v>
      </c>
      <c r="E275" t="str">
        <f t="shared" si="98"/>
        <v xml:space="preserve">303  </v>
      </c>
      <c r="F275" t="str">
        <f>CLEAN("$500,000 - $749,999      ")</f>
        <v xml:space="preserve">$500,000 - $749,999      </v>
      </c>
      <c r="G275" t="str">
        <f>CLEAN("R/R")</f>
        <v>R/R</v>
      </c>
      <c r="H275" t="str">
        <f>CLEAN("NONLET CONSTR/REAL ESTATE")</f>
        <v>NONLET CONSTR/REAL ESTATE</v>
      </c>
      <c r="I275" t="str">
        <f>CLEAN("WCL SIGNAL UPGRADES 689933J        ")</f>
        <v xml:space="preserve">WCL SIGNAL UPGRADES 689933J        </v>
      </c>
      <c r="J275" t="str">
        <f t="shared" si="105"/>
        <v>STH 013</v>
      </c>
      <c r="K275" t="str">
        <f>CLEAN("MARATHON                      ")</f>
        <v xml:space="preserve">MARATHON                      </v>
      </c>
      <c r="L275" t="str">
        <f>CLEAN("MARSHFIELD - ABBOTSFORD            ")</f>
        <v xml:space="preserve">MARSHFIELD - ABBOTSFORD            </v>
      </c>
      <c r="M275" t="str">
        <f>CLEAN("STH 98 TO SOUTH JUNCTION CTH N     ")</f>
        <v xml:space="preserve">STH 98 TO SOUTH JUNCTION CTH N     </v>
      </c>
      <c r="N275">
        <v>0</v>
      </c>
      <c r="O275" t="str">
        <f>CLEAN("          ")</f>
        <v xml:space="preserve">          </v>
      </c>
      <c r="P275" t="str">
        <f t="shared" si="104"/>
        <v xml:space="preserve">STATE 3R                                                                                            </v>
      </c>
    </row>
    <row r="276" spans="1:16" x14ac:dyDescent="0.25">
      <c r="A276" t="str">
        <f t="shared" si="96"/>
        <v>10</v>
      </c>
      <c r="B276" t="str">
        <f>CLEAN("24")</f>
        <v>24</v>
      </c>
      <c r="C276" s="1">
        <v>45300</v>
      </c>
      <c r="D276" t="str">
        <f>CLEAN("1620-01-62")</f>
        <v>1620-01-62</v>
      </c>
      <c r="E276" t="str">
        <f t="shared" si="98"/>
        <v xml:space="preserve">303  </v>
      </c>
      <c r="F276" t="str">
        <f>CLEAN("$7,000,000 - $7,999,999  ")</f>
        <v xml:space="preserve">$7,000,000 - $7,999,999  </v>
      </c>
      <c r="G276" t="str">
        <f>CLEAN("LET")</f>
        <v>LET</v>
      </c>
      <c r="H276" t="str">
        <f>CLEAN("LET CONSTRUCTION         ")</f>
        <v xml:space="preserve">LET CONSTRUCTION         </v>
      </c>
      <c r="I276" t="str">
        <f>CLEAN("CONSTR/PREV MAINT APPRVL 3/25/15   ")</f>
        <v xml:space="preserve">CONSTR/PREV MAINT APPRVL 3/25/15   </v>
      </c>
      <c r="J276" t="str">
        <f t="shared" si="105"/>
        <v>STH 013</v>
      </c>
      <c r="K276" t="str">
        <f>CLEAN("MARATHON                      ")</f>
        <v xml:space="preserve">MARATHON                      </v>
      </c>
      <c r="L276" t="str">
        <f>CLEAN("MARSHFIELD - ABBOTSFORD            ")</f>
        <v xml:space="preserve">MARSHFIELD - ABBOTSFORD            </v>
      </c>
      <c r="M276" t="str">
        <f>CLEAN("STH 98 TO SOUTH JUNCTION CTH N     ")</f>
        <v xml:space="preserve">STH 98 TO SOUTH JUNCTION CTH N     </v>
      </c>
      <c r="N276">
        <v>10.137</v>
      </c>
      <c r="O276" t="str">
        <f>CLEAN("1620-01-63")</f>
        <v>1620-01-63</v>
      </c>
      <c r="P276" t="str">
        <f t="shared" si="104"/>
        <v xml:space="preserve">STATE 3R                                                                                            </v>
      </c>
    </row>
    <row r="277" spans="1:16" x14ac:dyDescent="0.25">
      <c r="A277" t="str">
        <f t="shared" si="96"/>
        <v>10</v>
      </c>
      <c r="B277" t="str">
        <f>CLEAN("24")</f>
        <v>24</v>
      </c>
      <c r="C277" s="1">
        <v>45300</v>
      </c>
      <c r="D277" t="str">
        <f>CLEAN("1620-01-63")</f>
        <v>1620-01-63</v>
      </c>
      <c r="E277" t="str">
        <f t="shared" si="98"/>
        <v xml:space="preserve">303  </v>
      </c>
      <c r="F277" t="str">
        <f>CLEAN("$250,000 - $499,999      ")</f>
        <v xml:space="preserve">$250,000 - $499,999      </v>
      </c>
      <c r="G277" t="str">
        <f>CLEAN("LET")</f>
        <v>LET</v>
      </c>
      <c r="H277" t="str">
        <f>CLEAN("LET CONSTRUCTION         ")</f>
        <v xml:space="preserve">LET CONSTRUCTION         </v>
      </c>
      <c r="I277" t="str">
        <f>CLEAN("CONSTR/CONCRETE OVERLAY            ")</f>
        <v xml:space="preserve">CONSTR/CONCRETE OVERLAY            </v>
      </c>
      <c r="J277" t="str">
        <f t="shared" si="105"/>
        <v>STH 013</v>
      </c>
      <c r="K277" t="str">
        <f>CLEAN("MARATHON                      ")</f>
        <v xml:space="preserve">MARATHON                      </v>
      </c>
      <c r="L277" t="str">
        <f>CLEAN("REGIONWIDE CONCRETE OVERLAYS       ")</f>
        <v xml:space="preserve">REGIONWIDE CONCRETE OVERLAYS       </v>
      </c>
      <c r="M277" t="str">
        <f>CLEAN("MARATHON CO B-37-0184; B-37-0185   ")</f>
        <v xml:space="preserve">MARATHON CO B-37-0184; B-37-0185   </v>
      </c>
      <c r="N277">
        <v>0</v>
      </c>
      <c r="O277" t="str">
        <f>CLEAN("1620-01-62")</f>
        <v>1620-01-62</v>
      </c>
      <c r="P277" t="str">
        <f t="shared" si="104"/>
        <v xml:space="preserve">STATE 3R                                                                                            </v>
      </c>
    </row>
    <row r="278" spans="1:16" x14ac:dyDescent="0.25">
      <c r="A278" t="str">
        <f t="shared" si="96"/>
        <v>10</v>
      </c>
      <c r="B278" t="str">
        <f>CLEAN("25")</f>
        <v>25</v>
      </c>
      <c r="C278" s="1">
        <v>45316</v>
      </c>
      <c r="D278" t="str">
        <f>CLEAN("1630-00-22")</f>
        <v>1630-00-22</v>
      </c>
      <c r="E278" t="str">
        <f t="shared" si="98"/>
        <v xml:space="preserve">303  </v>
      </c>
      <c r="F278" t="str">
        <f>CLEAN("$0 - $99,999             ")</f>
        <v xml:space="preserve">$0 - $99,999             </v>
      </c>
      <c r="G278" t="str">
        <f>CLEAN("R/E")</f>
        <v>R/E</v>
      </c>
      <c r="H278" t="str">
        <f>CLEAN("NONLET CONSTR/REAL ESTATE")</f>
        <v>NONLET CONSTR/REAL ESTATE</v>
      </c>
      <c r="I278" t="str">
        <f>CLEAN("REAL ESTATE ACQUISITION            ")</f>
        <v xml:space="preserve">REAL ESTATE ACQUISITION            </v>
      </c>
      <c r="J278" t="str">
        <f>CLEAN("USH 053")</f>
        <v>USH 053</v>
      </c>
      <c r="K278" t="str">
        <f>CLEAN("TREMPEALEAU                   ")</f>
        <v xml:space="preserve">TREMPEALEAU                   </v>
      </c>
      <c r="L278" t="str">
        <f>CLEAN("GALESVILLE - WHITEHALL             ")</f>
        <v xml:space="preserve">GALESVILLE - WHITEHALL             </v>
      </c>
      <c r="M278" t="str">
        <f>CLEAN("BEAVER CR TO STH 95 W              ")</f>
        <v xml:space="preserve">BEAVER CR TO STH 95 W              </v>
      </c>
      <c r="N278">
        <v>13.95</v>
      </c>
      <c r="O278" t="str">
        <f t="shared" ref="O278:O296" si="106">CLEAN("          ")</f>
        <v xml:space="preserve">          </v>
      </c>
      <c r="P278" t="str">
        <f t="shared" si="104"/>
        <v xml:space="preserve">STATE 3R                                                                                            </v>
      </c>
    </row>
    <row r="279" spans="1:16" x14ac:dyDescent="0.25">
      <c r="A279" t="str">
        <f t="shared" si="96"/>
        <v>10</v>
      </c>
      <c r="B279" t="str">
        <f t="shared" ref="B279:B289" si="107">CLEAN("21")</f>
        <v>21</v>
      </c>
      <c r="C279" s="1">
        <v>45545</v>
      </c>
      <c r="D279" t="str">
        <f>CLEAN("1640-01-75")</f>
        <v>1640-01-75</v>
      </c>
      <c r="E279" t="str">
        <f t="shared" si="98"/>
        <v xml:space="preserve">303  </v>
      </c>
      <c r="F279" t="str">
        <f>CLEAN("$500,000 - $749,999      ")</f>
        <v xml:space="preserve">$500,000 - $749,999      </v>
      </c>
      <c r="G279" t="str">
        <f>CLEAN("LET")</f>
        <v>LET</v>
      </c>
      <c r="H279" t="str">
        <f>CLEAN("LET CONSTRUCTION         ")</f>
        <v xml:space="preserve">LET CONSTRUCTION         </v>
      </c>
      <c r="I279" t="str">
        <f>CLEAN("CONST/MILL &amp; O'LAY/B-32-82/PSRS    ")</f>
        <v xml:space="preserve">CONST/MILL &amp; O'LAY/B-32-82/PSRS    </v>
      </c>
      <c r="J279" t="str">
        <f t="shared" ref="J279:J285" si="108">CLEAN("USH 014")</f>
        <v>USH 014</v>
      </c>
      <c r="K279" t="str">
        <f>CLEAN("LA CROSSE                     ")</f>
        <v xml:space="preserve">LA CROSSE                     </v>
      </c>
      <c r="L279" t="str">
        <f>CLEAN("LA CROSSE - WESTBY                 ")</f>
        <v xml:space="preserve">LA CROSSE - WESTBY                 </v>
      </c>
      <c r="M279" t="str">
        <f>CLEAN("MARION ROAD TO GARNER PLACE        ")</f>
        <v xml:space="preserve">MARION ROAD TO GARNER PLACE        </v>
      </c>
      <c r="N279">
        <v>0.63</v>
      </c>
      <c r="O279" t="str">
        <f t="shared" si="106"/>
        <v xml:space="preserve">          </v>
      </c>
      <c r="P279" t="str">
        <f t="shared" si="104"/>
        <v xml:space="preserve">STATE 3R                                                                                            </v>
      </c>
    </row>
    <row r="280" spans="1:16" x14ac:dyDescent="0.25">
      <c r="A280" t="str">
        <f t="shared" si="96"/>
        <v>10</v>
      </c>
      <c r="B280" t="str">
        <f t="shared" si="107"/>
        <v>21</v>
      </c>
      <c r="C280" s="1">
        <v>45407</v>
      </c>
      <c r="D280" t="str">
        <f>CLEAN("1640-03-20")</f>
        <v>1640-03-20</v>
      </c>
      <c r="E280" t="str">
        <f t="shared" si="98"/>
        <v xml:space="preserve">303  </v>
      </c>
      <c r="F280" t="str">
        <f>CLEAN("$0 - $99,999             ")</f>
        <v xml:space="preserve">$0 - $99,999             </v>
      </c>
      <c r="G280" t="str">
        <f>CLEAN("R/E")</f>
        <v>R/E</v>
      </c>
      <c r="H280" t="str">
        <f>CLEAN("NONLET CONSTR/REAL ESTATE")</f>
        <v>NONLET CONSTR/REAL ESTATE</v>
      </c>
      <c r="I280" t="str">
        <f>CLEAN("REAL ESTATE OPS/RECONSTRUCTION     ")</f>
        <v xml:space="preserve">REAL ESTATE OPS/RECONSTRUCTION     </v>
      </c>
      <c r="J280" t="str">
        <f t="shared" si="108"/>
        <v>USH 014</v>
      </c>
      <c r="K280" t="str">
        <f>CLEAN("SAUK                          ")</f>
        <v xml:space="preserve">SAUK                          </v>
      </c>
      <c r="L280" t="str">
        <f>CLEAN("RICHLAND CENTER - SPRING GREEN     ")</f>
        <v xml:space="preserve">RICHLAND CENTER - SPRING GREEN     </v>
      </c>
      <c r="M280" t="str">
        <f>CLEAN("RAINBOW ROAD INTERSECTION          ")</f>
        <v xml:space="preserve">RAINBOW ROAD INTERSECTION          </v>
      </c>
      <c r="N280">
        <v>0.13900000000000001</v>
      </c>
      <c r="O280" t="str">
        <f t="shared" si="106"/>
        <v xml:space="preserve">          </v>
      </c>
      <c r="P280" t="str">
        <f t="shared" si="104"/>
        <v xml:space="preserve">STATE 3R                                                                                            </v>
      </c>
    </row>
    <row r="281" spans="1:16" x14ac:dyDescent="0.25">
      <c r="A281" t="str">
        <f t="shared" si="96"/>
        <v>10</v>
      </c>
      <c r="B281" t="str">
        <f t="shared" si="107"/>
        <v>21</v>
      </c>
      <c r="C281" s="1">
        <v>45285</v>
      </c>
      <c r="D281" t="str">
        <f>CLEAN("1640-03-24")</f>
        <v>1640-03-24</v>
      </c>
      <c r="E281" t="str">
        <f t="shared" si="98"/>
        <v xml:space="preserve">303  </v>
      </c>
      <c r="F281" t="str">
        <f>CLEAN("$0 - $99,999             ")</f>
        <v xml:space="preserve">$0 - $99,999             </v>
      </c>
      <c r="G281" t="str">
        <f>CLEAN("R/E")</f>
        <v>R/E</v>
      </c>
      <c r="H281" t="str">
        <f>CLEAN("NONLET CONSTR/REAL ESTATE")</f>
        <v>NONLET CONSTR/REAL ESTATE</v>
      </c>
      <c r="I281" t="str">
        <f>CLEAN("RE OPS/ 1640-03-74/ PVRPLA         ")</f>
        <v xml:space="preserve">RE OPS/ 1640-03-74/ PVRPLA         </v>
      </c>
      <c r="J281" t="str">
        <f t="shared" si="108"/>
        <v>USH 014</v>
      </c>
      <c r="K281" t="str">
        <f>CLEAN("VERNON                        ")</f>
        <v xml:space="preserve">VERNON                        </v>
      </c>
      <c r="L281" t="str">
        <f>CLEAN("LA CROSSE - WESTBY                 ")</f>
        <v xml:space="preserve">LA CROSSE - WESTBY                 </v>
      </c>
      <c r="M281" t="str">
        <f>CLEAN("S JCT STH 162 TO CHURCH STREET     ")</f>
        <v xml:space="preserve">S JCT STH 162 TO CHURCH STREET     </v>
      </c>
      <c r="N281">
        <v>1.85</v>
      </c>
      <c r="O281" t="str">
        <f t="shared" si="106"/>
        <v xml:space="preserve">          </v>
      </c>
      <c r="P281" t="str">
        <f t="shared" si="104"/>
        <v xml:space="preserve">STATE 3R                                                                                            </v>
      </c>
    </row>
    <row r="282" spans="1:16" x14ac:dyDescent="0.25">
      <c r="A282" t="str">
        <f t="shared" si="96"/>
        <v>10</v>
      </c>
      <c r="B282" t="str">
        <f t="shared" si="107"/>
        <v>21</v>
      </c>
      <c r="C282" s="1">
        <v>45529</v>
      </c>
      <c r="D282" t="str">
        <f>CLEAN("1640-03-25")</f>
        <v>1640-03-25</v>
      </c>
      <c r="E282" t="str">
        <f t="shared" si="98"/>
        <v xml:space="preserve">303  </v>
      </c>
      <c r="F282" t="str">
        <f>CLEAN("$0 - $99,999             ")</f>
        <v xml:space="preserve">$0 - $99,999             </v>
      </c>
      <c r="G282" t="str">
        <f>CLEAN("R/E")</f>
        <v>R/E</v>
      </c>
      <c r="H282" t="str">
        <f>CLEAN("NONLET CONSTR/REAL ESTATE")</f>
        <v>NONLET CONSTR/REAL ESTATE</v>
      </c>
      <c r="I282" t="str">
        <f>CLEAN("RE OPS/1640-03-75/MILL &amp; O'LAY/RSRF")</f>
        <v>RE OPS/1640-03-75/MILL &amp; O'LAY/RSRF</v>
      </c>
      <c r="J282" t="str">
        <f t="shared" si="108"/>
        <v>USH 014</v>
      </c>
      <c r="K282" t="str">
        <f>CLEAN("RICHLAND                      ")</f>
        <v xml:space="preserve">RICHLAND                      </v>
      </c>
      <c r="L282" t="str">
        <f>CLEAN("RICHLAND CENTER - SPRING GREEN     ")</f>
        <v xml:space="preserve">RICHLAND CENTER - SPRING GREEN     </v>
      </c>
      <c r="M282" t="str">
        <f>CLEAN("0.1 MI E STH 58 TO SAUK CO LINE    ")</f>
        <v xml:space="preserve">0.1 MI E STH 58 TO SAUK CO LINE    </v>
      </c>
      <c r="N282">
        <v>11.54</v>
      </c>
      <c r="O282" t="str">
        <f t="shared" si="106"/>
        <v xml:space="preserve">          </v>
      </c>
      <c r="P282" t="str">
        <f t="shared" si="104"/>
        <v xml:space="preserve">STATE 3R                                                                                            </v>
      </c>
    </row>
    <row r="283" spans="1:16" x14ac:dyDescent="0.25">
      <c r="A283" t="str">
        <f t="shared" si="96"/>
        <v>10</v>
      </c>
      <c r="B283" t="str">
        <f t="shared" si="107"/>
        <v>21</v>
      </c>
      <c r="C283" s="1">
        <v>45285</v>
      </c>
      <c r="D283" t="str">
        <f>CLEAN("1646-08-43")</f>
        <v>1646-08-43</v>
      </c>
      <c r="E283" t="str">
        <f t="shared" si="98"/>
        <v xml:space="preserve">303  </v>
      </c>
      <c r="F283" t="str">
        <f>CLEAN("$0 - $99,999             ")</f>
        <v xml:space="preserve">$0 - $99,999             </v>
      </c>
      <c r="G283" t="str">
        <f>CLEAN("UTL")</f>
        <v>UTL</v>
      </c>
      <c r="H283" t="str">
        <f>CLEAN("NONLET CONSTR/REAL ESTATE")</f>
        <v>NONLET CONSTR/REAL ESTATE</v>
      </c>
      <c r="I283" t="str">
        <f>CLEAN("UTL/WESTBY MUNIC ELEC UTL 204/RECST")</f>
        <v>UTL/WESTBY MUNIC ELEC UTL 204/RECST</v>
      </c>
      <c r="J283" t="str">
        <f t="shared" si="108"/>
        <v>USH 014</v>
      </c>
      <c r="K283" t="str">
        <f>CLEAN("VERNON                        ")</f>
        <v xml:space="preserve">VERNON                        </v>
      </c>
      <c r="L283" t="str">
        <f>CLEAN("C WESTBY, N MAIN STREET            ")</f>
        <v xml:space="preserve">C WESTBY, N MAIN STREET            </v>
      </c>
      <c r="M283" t="str">
        <f>CLEAN("HIGH ECHO LANE TO LOCUST STREET    ")</f>
        <v xml:space="preserve">HIGH ECHO LANE TO LOCUST STREET    </v>
      </c>
      <c r="N283">
        <v>1.44</v>
      </c>
      <c r="O283" t="str">
        <f t="shared" si="106"/>
        <v xml:space="preserve">          </v>
      </c>
      <c r="P283" t="str">
        <f t="shared" si="104"/>
        <v xml:space="preserve">STATE 3R                                                                                            </v>
      </c>
    </row>
    <row r="284" spans="1:16" x14ac:dyDescent="0.25">
      <c r="A284" t="str">
        <f t="shared" si="96"/>
        <v>10</v>
      </c>
      <c r="B284" t="str">
        <f t="shared" si="107"/>
        <v>21</v>
      </c>
      <c r="C284" s="1">
        <v>45335</v>
      </c>
      <c r="D284" t="str">
        <f>CLEAN("1646-08-72")</f>
        <v>1646-08-72</v>
      </c>
      <c r="E284" t="str">
        <f t="shared" si="98"/>
        <v xml:space="preserve">303  </v>
      </c>
      <c r="F284" t="str">
        <f>CLEAN("$12,000,000 - $12,999,999")</f>
        <v>$12,000,000 - $12,999,999</v>
      </c>
      <c r="G284" t="str">
        <f>CLEAN("LET")</f>
        <v>LET</v>
      </c>
      <c r="H284" t="str">
        <f>CLEAN("LET CONSTRUCTION         ")</f>
        <v xml:space="preserve">LET CONSTRUCTION         </v>
      </c>
      <c r="I284" t="str">
        <f>CLEAN("CONST/RECONSTRUCT ROADWAY/RECST    ")</f>
        <v xml:space="preserve">CONST/RECONSTRUCT ROADWAY/RECST    </v>
      </c>
      <c r="J284" t="str">
        <f t="shared" si="108"/>
        <v>USH 014</v>
      </c>
      <c r="K284" t="str">
        <f>CLEAN("VERNON                        ")</f>
        <v xml:space="preserve">VERNON                        </v>
      </c>
      <c r="L284" t="str">
        <f>CLEAN("C WESTBY, N MAIN STREET            ")</f>
        <v xml:space="preserve">C WESTBY, N MAIN STREET            </v>
      </c>
      <c r="M284" t="str">
        <f>CLEAN("HIGH ECHO LANE TO LOCUST STREET    ")</f>
        <v xml:space="preserve">HIGH ECHO LANE TO LOCUST STREET    </v>
      </c>
      <c r="N284">
        <v>1.6180000000000001</v>
      </c>
      <c r="O284" t="str">
        <f t="shared" si="106"/>
        <v xml:space="preserve">          </v>
      </c>
      <c r="P284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285" spans="1:16" x14ac:dyDescent="0.25">
      <c r="A285" t="str">
        <f t="shared" si="96"/>
        <v>10</v>
      </c>
      <c r="B285" t="str">
        <f t="shared" si="107"/>
        <v>21</v>
      </c>
      <c r="C285" s="1">
        <v>45335</v>
      </c>
      <c r="D285" t="str">
        <f>CLEAN("1646-08-72")</f>
        <v>1646-08-72</v>
      </c>
      <c r="E285" t="str">
        <f t="shared" si="98"/>
        <v xml:space="preserve">303  </v>
      </c>
      <c r="F285" t="str">
        <f>CLEAN("$12,000,000 - $12,999,999")</f>
        <v>$12,000,000 - $12,999,999</v>
      </c>
      <c r="G285" t="str">
        <f>CLEAN("LET")</f>
        <v>LET</v>
      </c>
      <c r="H285" t="str">
        <f>CLEAN("LET CONSTRUCTION         ")</f>
        <v xml:space="preserve">LET CONSTRUCTION         </v>
      </c>
      <c r="I285" t="str">
        <f>CLEAN("CONST/RECONSTRUCT ROADWAY/RECST    ")</f>
        <v xml:space="preserve">CONST/RECONSTRUCT ROADWAY/RECST    </v>
      </c>
      <c r="J285" t="str">
        <f t="shared" si="108"/>
        <v>USH 014</v>
      </c>
      <c r="K285" t="str">
        <f>CLEAN("VERNON                        ")</f>
        <v xml:space="preserve">VERNON                        </v>
      </c>
      <c r="L285" t="str">
        <f>CLEAN("C WESTBY, N MAIN STREET            ")</f>
        <v xml:space="preserve">C WESTBY, N MAIN STREET            </v>
      </c>
      <c r="M285" t="str">
        <f>CLEAN("HIGH ECHO LANE TO LOCUST STREET    ")</f>
        <v xml:space="preserve">HIGH ECHO LANE TO LOCUST STREET    </v>
      </c>
      <c r="N285">
        <v>1.6180000000000001</v>
      </c>
      <c r="O285" t="str">
        <f t="shared" si="106"/>
        <v xml:space="preserve">          </v>
      </c>
      <c r="P28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86" spans="1:16" x14ac:dyDescent="0.25">
      <c r="A286" t="str">
        <f t="shared" si="96"/>
        <v>10</v>
      </c>
      <c r="B286" t="str">
        <f t="shared" si="107"/>
        <v>21</v>
      </c>
      <c r="C286" s="1">
        <v>45285</v>
      </c>
      <c r="D286" t="str">
        <f>CLEAN("1650-03-23")</f>
        <v>1650-03-23</v>
      </c>
      <c r="E286" t="str">
        <f t="shared" si="98"/>
        <v xml:space="preserve">303  </v>
      </c>
      <c r="F286" t="str">
        <f>CLEAN("$0 - $99,999             ")</f>
        <v xml:space="preserve">$0 - $99,999             </v>
      </c>
      <c r="G286" t="str">
        <f>CLEAN("R/E")</f>
        <v>R/E</v>
      </c>
      <c r="H286" t="str">
        <f t="shared" ref="H286:H291" si="109">CLEAN("NONLET CONSTR/REAL ESTATE")</f>
        <v>NONLET CONSTR/REAL ESTATE</v>
      </c>
      <c r="I286" t="str">
        <f>CLEAN("RE OPS/ 1650-03-73/ RSRF           ")</f>
        <v xml:space="preserve">RE OPS/ 1650-03-73/ RSRF           </v>
      </c>
      <c r="J286" t="str">
        <f>CLEAN("USH 061")</f>
        <v>USH 061</v>
      </c>
      <c r="K286" t="str">
        <f>CLEAN("GRANT                         ")</f>
        <v xml:space="preserve">GRANT                         </v>
      </c>
      <c r="L286" t="str">
        <f>CLEAN("BOSCOBEL - READSTOWN               ")</f>
        <v xml:space="preserve">BOSCOBEL - READSTOWN               </v>
      </c>
      <c r="M286" t="str">
        <f>CLEAN("NORTH ST TO WISCONSIN RIVER BRIDGE ")</f>
        <v xml:space="preserve">NORTH ST TO WISCONSIN RIVER BRIDGE </v>
      </c>
      <c r="N286">
        <v>0.64300000000000002</v>
      </c>
      <c r="O286" t="str">
        <f t="shared" si="106"/>
        <v xml:space="preserve">          </v>
      </c>
      <c r="P28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87" spans="1:16" x14ac:dyDescent="0.25">
      <c r="A287" t="str">
        <f t="shared" si="96"/>
        <v>10</v>
      </c>
      <c r="B287" t="str">
        <f t="shared" si="107"/>
        <v>21</v>
      </c>
      <c r="C287" s="1">
        <v>45285</v>
      </c>
      <c r="D287" t="str">
        <f>CLEAN("1660-02-23")</f>
        <v>1660-02-23</v>
      </c>
      <c r="E287" t="str">
        <f t="shared" si="98"/>
        <v xml:space="preserve">303  </v>
      </c>
      <c r="F287" t="str">
        <f>CLEAN("$0 - $99,999             ")</f>
        <v xml:space="preserve">$0 - $99,999             </v>
      </c>
      <c r="G287" t="str">
        <f>CLEAN("R/E")</f>
        <v>R/E</v>
      </c>
      <c r="H287" t="str">
        <f t="shared" si="109"/>
        <v>NONLET CONSTR/REAL ESTATE</v>
      </c>
      <c r="I287" t="str">
        <f>CLEAN("RE/1660-02-73 RECST/RAB            ")</f>
        <v xml:space="preserve">RE/1660-02-73 RECST/RAB            </v>
      </c>
      <c r="J287" t="str">
        <f>CLEAN("USH 018")</f>
        <v>USH 018</v>
      </c>
      <c r="K287" t="str">
        <f>CLEAN("CRAWFORD                      ")</f>
        <v xml:space="preserve">CRAWFORD                      </v>
      </c>
      <c r="L287" t="str">
        <f>CLEAN("MARQUETTE - PRAIRIE DU CHIEN       ")</f>
        <v xml:space="preserve">MARQUETTE - PRAIRIE DU CHIEN       </v>
      </c>
      <c r="M287" t="str">
        <f>CLEAN("MAIN STREET INTERSECTION           ")</f>
        <v xml:space="preserve">MAIN STREET INTERSECTION           </v>
      </c>
      <c r="N287">
        <v>0.16400000000000001</v>
      </c>
      <c r="O287" t="str">
        <f t="shared" si="106"/>
        <v xml:space="preserve">          </v>
      </c>
      <c r="P28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88" spans="1:16" x14ac:dyDescent="0.25">
      <c r="A288" t="str">
        <f t="shared" si="96"/>
        <v>10</v>
      </c>
      <c r="B288" t="str">
        <f t="shared" si="107"/>
        <v>21</v>
      </c>
      <c r="C288" s="1">
        <v>45498</v>
      </c>
      <c r="D288" t="str">
        <f>CLEAN("1662-01-70")</f>
        <v>1662-01-70</v>
      </c>
      <c r="E288" t="str">
        <f>CLEAN("206  ")</f>
        <v xml:space="preserve">206  </v>
      </c>
      <c r="F288" t="str">
        <f>CLEAN("$1,000,000 - $1,999,999  ")</f>
        <v xml:space="preserve">$1,000,000 - $1,999,999  </v>
      </c>
      <c r="G288" t="str">
        <f>CLEAN("LLC")</f>
        <v>LLC</v>
      </c>
      <c r="H288" t="str">
        <f t="shared" si="109"/>
        <v>NONLET CONSTR/REAL ESTATE</v>
      </c>
      <c r="I288" t="str">
        <f>CLEAN("CONST/CARBON RED-LED LIGHTING      ")</f>
        <v xml:space="preserve">CONST/CARBON RED-LED LIGHTING      </v>
      </c>
      <c r="J288" t="str">
        <f>CLEAN("USH 018")</f>
        <v>USH 018</v>
      </c>
      <c r="K288" t="str">
        <f>CLEAN("GRANT                         ")</f>
        <v xml:space="preserve">GRANT                         </v>
      </c>
      <c r="L288" t="str">
        <f>CLEAN("C FENNIMORE, STH 18                ")</f>
        <v xml:space="preserve">C FENNIMORE, STH 18                </v>
      </c>
      <c r="M288" t="str">
        <f>CLEAN("WILSON ST. TO MARDSEN PARK ST.     ")</f>
        <v xml:space="preserve">WILSON ST. TO MARDSEN PARK ST.     </v>
      </c>
      <c r="N288">
        <v>1.335</v>
      </c>
      <c r="O288" t="str">
        <f t="shared" si="106"/>
        <v xml:space="preserve">          </v>
      </c>
      <c r="P288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289" spans="1:16" x14ac:dyDescent="0.25">
      <c r="A289" t="str">
        <f t="shared" si="96"/>
        <v>10</v>
      </c>
      <c r="B289" t="str">
        <f t="shared" si="107"/>
        <v>21</v>
      </c>
      <c r="C289" s="1">
        <v>45437</v>
      </c>
      <c r="D289" t="str">
        <f>CLEAN("1690-04-20")</f>
        <v>1690-04-20</v>
      </c>
      <c r="E289" t="str">
        <f>CLEAN("303  ")</f>
        <v xml:space="preserve">303  </v>
      </c>
      <c r="F289" t="str">
        <f>CLEAN("$0 - $99,999             ")</f>
        <v xml:space="preserve">$0 - $99,999             </v>
      </c>
      <c r="G289" t="str">
        <f>CLEAN("R/E")</f>
        <v>R/E</v>
      </c>
      <c r="H289" t="str">
        <f t="shared" si="109"/>
        <v>NONLET CONSTR/REAL ESTATE</v>
      </c>
      <c r="I289" t="str">
        <f>CLEAN("RE OPS FOR 1690-04-20              ")</f>
        <v xml:space="preserve">RE OPS FOR 1690-04-20              </v>
      </c>
      <c r="J289" t="str">
        <f>CLEAN("STH 069")</f>
        <v>STH 069</v>
      </c>
      <c r="K289" t="str">
        <f>CLEAN("GREEN                         ")</f>
        <v xml:space="preserve">GREEN                         </v>
      </c>
      <c r="L289" t="str">
        <f>CLEAN("MONROE - NEW GLARUS                ")</f>
        <v xml:space="preserve">MONROE - NEW GLARUS                </v>
      </c>
      <c r="M289" t="str">
        <f>CLEAN("WITTENWYLER RD &amp;CTH C INTERSECTIONS")</f>
        <v>WITTENWYLER RD &amp;CTH C INTERSECTIONS</v>
      </c>
      <c r="N289">
        <v>0.32100000000000001</v>
      </c>
      <c r="O289" t="str">
        <f t="shared" si="106"/>
        <v xml:space="preserve">          </v>
      </c>
      <c r="P28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0" spans="1:16" x14ac:dyDescent="0.25">
      <c r="A290" t="str">
        <f t="shared" si="96"/>
        <v>10</v>
      </c>
      <c r="B290" t="str">
        <f>CLEAN("22")</f>
        <v>22</v>
      </c>
      <c r="C290" s="1">
        <v>45621</v>
      </c>
      <c r="D290" t="str">
        <f>CLEAN("1693-09-05")</f>
        <v>1693-09-05</v>
      </c>
      <c r="E290" t="str">
        <f>CLEAN("211  ")</f>
        <v xml:space="preserve">211  </v>
      </c>
      <c r="F290" t="str">
        <f>CLEAN("$500,000 - $749,999      ")</f>
        <v xml:space="preserve">$500,000 - $749,999      </v>
      </c>
      <c r="G290" t="str">
        <f>CLEAN("TST")</f>
        <v>TST</v>
      </c>
      <c r="H290" t="str">
        <f t="shared" si="109"/>
        <v>NONLET CONSTR/REAL ESTATE</v>
      </c>
      <c r="I290" t="str">
        <f>CLEAN("TST/MARKETING                      ")</f>
        <v xml:space="preserve">TST/MARKETING                      </v>
      </c>
      <c r="J290" t="str">
        <f>CLEAN("NON HWY")</f>
        <v>NON HWY</v>
      </c>
      <c r="K290" t="str">
        <f>CLEAN("MILWAUKEE                     ")</f>
        <v xml:space="preserve">MILWAUKEE                     </v>
      </c>
      <c r="L290" t="str">
        <f>CLEAN("MCTS MARKETING PUBLIC OUTREACH     ")</f>
        <v xml:space="preserve">MCTS MARKETING PUBLIC OUTREACH     </v>
      </c>
      <c r="M290" t="str">
        <f>CLEAN("2023-2026 PHASE 2                  ")</f>
        <v xml:space="preserve">2023-2026 PHASE 2                  </v>
      </c>
      <c r="N290">
        <v>0</v>
      </c>
      <c r="O290" t="str">
        <f t="shared" si="106"/>
        <v xml:space="preserve">          </v>
      </c>
      <c r="P290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291" spans="1:16" x14ac:dyDescent="0.25">
      <c r="A291" t="str">
        <f t="shared" si="96"/>
        <v>10</v>
      </c>
      <c r="B291" t="str">
        <f>CLEAN("22")</f>
        <v>22</v>
      </c>
      <c r="C291" s="1">
        <v>45498</v>
      </c>
      <c r="D291" t="str">
        <f>CLEAN("1693-34-47")</f>
        <v>1693-34-47</v>
      </c>
      <c r="E291" t="str">
        <f>CLEAN("211  ")</f>
        <v xml:space="preserve">211  </v>
      </c>
      <c r="F291" t="str">
        <f>CLEAN("$1,000,000 - $1,999,999  ")</f>
        <v xml:space="preserve">$1,000,000 - $1,999,999  </v>
      </c>
      <c r="G291" t="str">
        <f>CLEAN("TST")</f>
        <v>TST</v>
      </c>
      <c r="H291" t="str">
        <f t="shared" si="109"/>
        <v>NONLET CONSTR/REAL ESTATE</v>
      </c>
      <c r="I291" t="str">
        <f>CLEAN("MILWAUKEE TRANSIT, CMAQ            ")</f>
        <v xml:space="preserve">MILWAUKEE TRANSIT, CMAQ            </v>
      </c>
      <c r="J291" t="str">
        <f>CLEAN("NON HWY")</f>
        <v>NON HWY</v>
      </c>
      <c r="K291" t="str">
        <f>CLEAN("MILWAUKEE                     ")</f>
        <v xml:space="preserve">MILWAUKEE                     </v>
      </c>
      <c r="L291" t="str">
        <f>CLEAN("MILW CO TRANSIT REPLACEMENT BUSES  ")</f>
        <v xml:space="preserve">MILW CO TRANSIT REPLACEMENT BUSES  </v>
      </c>
      <c r="M291" t="str">
        <f>CLEAN("PHASE 3 OF 4, 12 BUSES FY22-26     ")</f>
        <v xml:space="preserve">PHASE 3 OF 4, 12 BUSES FY22-26     </v>
      </c>
      <c r="N291">
        <v>0</v>
      </c>
      <c r="O291" t="str">
        <f t="shared" si="106"/>
        <v xml:space="preserve">          </v>
      </c>
      <c r="P291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292" spans="1:16" x14ac:dyDescent="0.25">
      <c r="A292" t="str">
        <f t="shared" si="96"/>
        <v>10</v>
      </c>
      <c r="B292" t="str">
        <f>CLEAN("21")</f>
        <v>21</v>
      </c>
      <c r="C292" s="1">
        <v>45636</v>
      </c>
      <c r="D292" t="str">
        <f>CLEAN("1706-03-80")</f>
        <v>1706-03-80</v>
      </c>
      <c r="E292" t="str">
        <f>CLEAN("303  ")</f>
        <v xml:space="preserve">303  </v>
      </c>
      <c r="F292" t="str">
        <f>CLEAN("$1,000,000 - $1,999,999  ")</f>
        <v xml:space="preserve">$1,000,000 - $1,999,999  </v>
      </c>
      <c r="G292" t="str">
        <f>CLEAN("LET")</f>
        <v>LET</v>
      </c>
      <c r="H292" t="str">
        <f>CLEAN("LET CONSTRUCTION         ")</f>
        <v xml:space="preserve">LET CONSTRUCTION         </v>
      </c>
      <c r="I292" t="str">
        <f>CLEAN("CONST/ REPLACEMENTS B-33-136, -137 ")</f>
        <v xml:space="preserve">CONST/ REPLACEMENTS B-33-136, -137 </v>
      </c>
      <c r="J292" t="str">
        <f>CLEAN("STH 011")</f>
        <v>STH 011</v>
      </c>
      <c r="K292" t="str">
        <f>CLEAN("LAFAYETTE                     ")</f>
        <v xml:space="preserve">LAFAYETTE                     </v>
      </c>
      <c r="L292" t="str">
        <f>CLEAN("SHULLSBURG - MONROE                ")</f>
        <v xml:space="preserve">SHULLSBURG - MONROE                </v>
      </c>
      <c r="M292" t="str">
        <f>CLEAN("SHULLSBURG BRANCH BRIDGES          ")</f>
        <v xml:space="preserve">SHULLSBURG BRANCH BRIDGES          </v>
      </c>
      <c r="N292">
        <v>6.4000000000000001E-2</v>
      </c>
      <c r="O292" t="str">
        <f t="shared" si="106"/>
        <v xml:space="preserve">          </v>
      </c>
      <c r="P29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93" spans="1:16" x14ac:dyDescent="0.25">
      <c r="A293" t="str">
        <f t="shared" si="96"/>
        <v>10</v>
      </c>
      <c r="B293" t="str">
        <f>CLEAN("21")</f>
        <v>21</v>
      </c>
      <c r="C293" s="1">
        <v>45498</v>
      </c>
      <c r="D293" t="str">
        <f>CLEAN("1706-04-24")</f>
        <v>1706-04-24</v>
      </c>
      <c r="E293" t="str">
        <f>CLEAN("303  ")</f>
        <v xml:space="preserve">303  </v>
      </c>
      <c r="F293" t="str">
        <f>CLEAN("$0 - $99,999             ")</f>
        <v xml:space="preserve">$0 - $99,999             </v>
      </c>
      <c r="G293" t="str">
        <f>CLEAN("R/E")</f>
        <v>R/E</v>
      </c>
      <c r="H293" t="str">
        <f>CLEAN("NONLET CONSTR/REAL ESTATE")</f>
        <v>NONLET CONSTR/REAL ESTATE</v>
      </c>
      <c r="I293" t="str">
        <f>CLEAN("DESIGN-RIGHT OF WAY-RSRF30         ")</f>
        <v xml:space="preserve">DESIGN-RIGHT OF WAY-RSRF30         </v>
      </c>
      <c r="J293" t="str">
        <f>CLEAN("STH 011")</f>
        <v>STH 011</v>
      </c>
      <c r="K293" t="str">
        <f>CLEAN("LAFAYETTE                     ")</f>
        <v xml:space="preserve">LAFAYETTE                     </v>
      </c>
      <c r="L293" t="str">
        <f>CLEAN("SHULLSBURG - MONROE                ")</f>
        <v xml:space="preserve">SHULLSBURG - MONROE                </v>
      </c>
      <c r="M293" t="str">
        <f>CLEAN("WOLF CREEK BRIDGE TO CTH KK        ")</f>
        <v xml:space="preserve">WOLF CREEK BRIDGE TO CTH KK        </v>
      </c>
      <c r="N293">
        <v>3.27</v>
      </c>
      <c r="O293" t="str">
        <f t="shared" si="106"/>
        <v xml:space="preserve">          </v>
      </c>
      <c r="P29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4" spans="1:16" x14ac:dyDescent="0.25">
      <c r="A294" t="str">
        <f t="shared" si="96"/>
        <v>10</v>
      </c>
      <c r="B294" t="str">
        <f t="shared" ref="B294:B325" si="110">CLEAN("22")</f>
        <v>22</v>
      </c>
      <c r="C294" s="1">
        <v>45437</v>
      </c>
      <c r="D294" t="str">
        <f>CLEAN("2010-03-23")</f>
        <v>2010-03-23</v>
      </c>
      <c r="E294" t="str">
        <f>CLEAN("303  ")</f>
        <v xml:space="preserve">303  </v>
      </c>
      <c r="F294" t="str">
        <f>CLEAN("$0 - $99,999             ")</f>
        <v xml:space="preserve">$0 - $99,999             </v>
      </c>
      <c r="G294" t="str">
        <f>CLEAN("R/E")</f>
        <v>R/E</v>
      </c>
      <c r="H294" t="str">
        <f>CLEAN("NONLET CONSTR/REAL ESTATE")</f>
        <v>NONLET CONSTR/REAL ESTATE</v>
      </c>
      <c r="I294" t="str">
        <f>CLEAN("RE/RSRF25                          ")</f>
        <v xml:space="preserve">RE/RSRF25                          </v>
      </c>
      <c r="J294" t="str">
        <f>CLEAN("STH 175")</f>
        <v>STH 175</v>
      </c>
      <c r="K294" t="str">
        <f>CLEAN("WASHINGTON                    ")</f>
        <v xml:space="preserve">WASHINGTON                    </v>
      </c>
      <c r="L294" t="str">
        <f>CLEAN("V SLINGER, WASHINGTON ST           ")</f>
        <v xml:space="preserve">V SLINGER, WASHINGTON ST           </v>
      </c>
      <c r="M294" t="str">
        <f>CLEAN("STH 60 TO N MAPLE AVE              ")</f>
        <v xml:space="preserve">STH 60 TO N MAPLE AVE              </v>
      </c>
      <c r="N294">
        <v>1.2549999999999999</v>
      </c>
      <c r="O294" t="str">
        <f t="shared" si="106"/>
        <v xml:space="preserve">          </v>
      </c>
      <c r="P29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5" spans="1:16" x14ac:dyDescent="0.25">
      <c r="A295" t="str">
        <f t="shared" si="96"/>
        <v>10</v>
      </c>
      <c r="B295" t="str">
        <f t="shared" si="110"/>
        <v>22</v>
      </c>
      <c r="C295" s="1">
        <v>45608</v>
      </c>
      <c r="D295" t="str">
        <f>CLEAN("2010-03-72")</f>
        <v>2010-03-72</v>
      </c>
      <c r="E295" t="str">
        <f>CLEAN("303  ")</f>
        <v xml:space="preserve">303  </v>
      </c>
      <c r="F295" t="str">
        <f>CLEAN("$10,000,000 - $10,999,999")</f>
        <v>$10,000,000 - $10,999,999</v>
      </c>
      <c r="G295" t="str">
        <f t="shared" ref="G295:G301" si="111">CLEAN("LET")</f>
        <v>LET</v>
      </c>
      <c r="H295" t="str">
        <f t="shared" ref="H295:H301" si="112">CLEAN("LET CONSTRUCTION         ")</f>
        <v xml:space="preserve">LET CONSTRUCTION         </v>
      </c>
      <c r="I295" t="str">
        <f>CLEAN("CONST/RESURFACE                    ")</f>
        <v xml:space="preserve">CONST/RESURFACE                    </v>
      </c>
      <c r="J295" t="str">
        <f>CLEAN("STH 175")</f>
        <v>STH 175</v>
      </c>
      <c r="K295" t="str">
        <f>CLEAN("MILWAUKEE                     ")</f>
        <v xml:space="preserve">MILWAUKEE                     </v>
      </c>
      <c r="L295" t="str">
        <f>CLEAN("C MILWAUKEE, APPLETON AVE          ")</f>
        <v xml:space="preserve">C MILWAUKEE, APPLETON AVE          </v>
      </c>
      <c r="M295" t="str">
        <f>CLEAN("STH 181 TO IH 41                   ")</f>
        <v xml:space="preserve">STH 181 TO IH 41                   </v>
      </c>
      <c r="N295">
        <v>4.2649999999999997</v>
      </c>
      <c r="O295" t="str">
        <f t="shared" si="106"/>
        <v xml:space="preserve">          </v>
      </c>
      <c r="P2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6" spans="1:16" x14ac:dyDescent="0.25">
      <c r="A296" t="str">
        <f t="shared" si="96"/>
        <v>10</v>
      </c>
      <c r="B296" t="str">
        <f t="shared" si="110"/>
        <v>22</v>
      </c>
      <c r="C296" s="1">
        <v>45608</v>
      </c>
      <c r="D296" t="str">
        <f>CLEAN("2020-00-71")</f>
        <v>2020-00-71</v>
      </c>
      <c r="E296" t="str">
        <f>CLEAN("205  ")</f>
        <v xml:space="preserve">205  </v>
      </c>
      <c r="F296" t="str">
        <f>CLEAN("$750,000 - $999,999      ")</f>
        <v xml:space="preserve">$750,000 - $999,999      </v>
      </c>
      <c r="G296" t="str">
        <f t="shared" si="111"/>
        <v>LET</v>
      </c>
      <c r="H296" t="str">
        <f t="shared" si="112"/>
        <v xml:space="preserve">LET CONSTRUCTION         </v>
      </c>
      <c r="I296" t="str">
        <f>CLEAN("CONST/BRIDGE REPLACEMENT           ")</f>
        <v xml:space="preserve">CONST/BRIDGE REPLACEMENT           </v>
      </c>
      <c r="J296" t="str">
        <f>CLEAN("LOC STR")</f>
        <v>LOC STR</v>
      </c>
      <c r="K296" t="str">
        <f>CLEAN("MILWAUKEE                     ")</f>
        <v xml:space="preserve">MILWAUKEE                     </v>
      </c>
      <c r="L296" t="str">
        <f>CLEAN("V BROWN DEER - N 51ST ST           ")</f>
        <v xml:space="preserve">V BROWN DEER - N 51ST ST           </v>
      </c>
      <c r="M296" t="str">
        <f>CLEAN("BRIDGE OVER BEAVER CREEK P-40-0550 ")</f>
        <v xml:space="preserve">BRIDGE OVER BEAVER CREEK P-40-0550 </v>
      </c>
      <c r="N296">
        <v>0</v>
      </c>
      <c r="O296" t="str">
        <f t="shared" si="106"/>
        <v xml:space="preserve">          </v>
      </c>
      <c r="P29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297" spans="1:16" x14ac:dyDescent="0.25">
      <c r="A297" t="str">
        <f t="shared" si="96"/>
        <v>10</v>
      </c>
      <c r="B297" t="str">
        <f t="shared" si="110"/>
        <v>22</v>
      </c>
      <c r="C297" s="1">
        <v>45426</v>
      </c>
      <c r="D297" t="str">
        <f>CLEAN("2025-03-74")</f>
        <v>2025-03-74</v>
      </c>
      <c r="E297" t="str">
        <f>CLEAN("303  ")</f>
        <v xml:space="preserve">303  </v>
      </c>
      <c r="F297" t="str">
        <f>CLEAN("$0 - $99,999             ")</f>
        <v xml:space="preserve">$0 - $99,999             </v>
      </c>
      <c r="G297" t="str">
        <f t="shared" si="111"/>
        <v>LET</v>
      </c>
      <c r="H297" t="str">
        <f t="shared" si="112"/>
        <v xml:space="preserve">LET CONSTRUCTION         </v>
      </c>
      <c r="I297" t="str">
        <f>CLEAN("PE/FULL PS&amp;E/BRRHB                 ")</f>
        <v xml:space="preserve">PE/FULL PS&amp;E/BRRHB                 </v>
      </c>
      <c r="J297" t="str">
        <f>CLEAN("STH 190")</f>
        <v>STH 190</v>
      </c>
      <c r="K297" t="str">
        <f>CLEAN("WAUKESHA                      ")</f>
        <v xml:space="preserve">WAUKESHA                      </v>
      </c>
      <c r="L297" t="str">
        <f>CLEAN("CAPITOL DR, CITY OF BROOKFIELD     ")</f>
        <v xml:space="preserve">CAPITOL DR, CITY OF BROOKFIELD     </v>
      </c>
      <c r="M297" t="str">
        <f>CLEAN("PILGRIM ROAD I/C, B-67-0086        ")</f>
        <v xml:space="preserve">PILGRIM ROAD I/C, B-67-0086        </v>
      </c>
      <c r="N297">
        <v>0</v>
      </c>
      <c r="O297" t="str">
        <f>CLEAN("1000-50-60")</f>
        <v>1000-50-60</v>
      </c>
      <c r="P2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8" spans="1:16" x14ac:dyDescent="0.25">
      <c r="A298" t="str">
        <f t="shared" si="96"/>
        <v>10</v>
      </c>
      <c r="B298" t="str">
        <f t="shared" si="110"/>
        <v>22</v>
      </c>
      <c r="C298" s="1">
        <v>45426</v>
      </c>
      <c r="D298" t="str">
        <f>CLEAN("2025-03-74")</f>
        <v>2025-03-74</v>
      </c>
      <c r="E298" t="str">
        <f>CLEAN("303  ")</f>
        <v xml:space="preserve">303  </v>
      </c>
      <c r="F298" t="str">
        <f>CLEAN("$0 - $99,999             ")</f>
        <v xml:space="preserve">$0 - $99,999             </v>
      </c>
      <c r="G298" t="str">
        <f t="shared" si="111"/>
        <v>LET</v>
      </c>
      <c r="H298" t="str">
        <f t="shared" si="112"/>
        <v xml:space="preserve">LET CONSTRUCTION         </v>
      </c>
      <c r="I298" t="str">
        <f>CLEAN("PE/FULL PS&amp;E/BRRHB                 ")</f>
        <v xml:space="preserve">PE/FULL PS&amp;E/BRRHB                 </v>
      </c>
      <c r="J298" t="str">
        <f>CLEAN("STH 190")</f>
        <v>STH 190</v>
      </c>
      <c r="K298" t="str">
        <f>CLEAN("WAUKESHA                      ")</f>
        <v xml:space="preserve">WAUKESHA                      </v>
      </c>
      <c r="L298" t="str">
        <f>CLEAN("CAPITOL DR, CITY OF BROOKFIELD     ")</f>
        <v xml:space="preserve">CAPITOL DR, CITY OF BROOKFIELD     </v>
      </c>
      <c r="M298" t="str">
        <f>CLEAN("PILGRIM ROAD I/C, B-67-0086        ")</f>
        <v xml:space="preserve">PILGRIM ROAD I/C, B-67-0086        </v>
      </c>
      <c r="N298">
        <v>0</v>
      </c>
      <c r="O298" t="str">
        <f>CLEAN("1000-50-61")</f>
        <v>1000-50-61</v>
      </c>
      <c r="P2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9" spans="1:16" x14ac:dyDescent="0.25">
      <c r="A299" t="str">
        <f t="shared" si="96"/>
        <v>10</v>
      </c>
      <c r="B299" t="str">
        <f t="shared" si="110"/>
        <v>22</v>
      </c>
      <c r="C299" s="1">
        <v>45335</v>
      </c>
      <c r="D299" t="str">
        <f>CLEAN("2040-03-75")</f>
        <v>2040-03-75</v>
      </c>
      <c r="E299" t="str">
        <f>CLEAN("303  ")</f>
        <v xml:space="preserve">303  </v>
      </c>
      <c r="F299" t="str">
        <f>CLEAN("$1,000,000 - $1,999,999  ")</f>
        <v xml:space="preserve">$1,000,000 - $1,999,999  </v>
      </c>
      <c r="G299" t="str">
        <f t="shared" si="111"/>
        <v>LET</v>
      </c>
      <c r="H299" t="str">
        <f t="shared" si="112"/>
        <v xml:space="preserve">LET CONSTRUCTION         </v>
      </c>
      <c r="I299" t="str">
        <f>CLEAN("CONST/RESURFACE                    ")</f>
        <v xml:space="preserve">CONST/RESURFACE                    </v>
      </c>
      <c r="J299" t="str">
        <f>CLEAN("STH 100")</f>
        <v>STH 100</v>
      </c>
      <c r="K299" t="str">
        <f t="shared" ref="K299:K319" si="113">CLEAN("MILWAUKEE                     ")</f>
        <v xml:space="preserve">MILWAUKEE                     </v>
      </c>
      <c r="L299" t="str">
        <f>CLEAN("RYAN ROAD                          ")</f>
        <v xml:space="preserve">RYAN ROAD                          </v>
      </c>
      <c r="M299" t="str">
        <f>CLEAN("SHEPARD AVE TO STH 32              ")</f>
        <v xml:space="preserve">SHEPARD AVE TO STH 32              </v>
      </c>
      <c r="N299">
        <v>2.2410000000000001</v>
      </c>
      <c r="O299" t="str">
        <f>CLEAN("2040-20-70")</f>
        <v>2040-20-70</v>
      </c>
      <c r="P29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0" spans="1:16" x14ac:dyDescent="0.25">
      <c r="A300" t="str">
        <f t="shared" si="96"/>
        <v>10</v>
      </c>
      <c r="B300" t="str">
        <f t="shared" si="110"/>
        <v>22</v>
      </c>
      <c r="C300" s="1">
        <v>45608</v>
      </c>
      <c r="D300" t="str">
        <f>CLEAN("2040-15-73")</f>
        <v>2040-15-73</v>
      </c>
      <c r="E300" t="str">
        <f>CLEAN("303  ")</f>
        <v xml:space="preserve">303  </v>
      </c>
      <c r="F300" t="str">
        <f>CLEAN("$14,000,000 - $14,999,999")</f>
        <v>$14,000,000 - $14,999,999</v>
      </c>
      <c r="G300" t="str">
        <f t="shared" si="111"/>
        <v>LET</v>
      </c>
      <c r="H300" t="str">
        <f t="shared" si="112"/>
        <v xml:space="preserve">LET CONSTRUCTION         </v>
      </c>
      <c r="I300" t="str">
        <f>CLEAN("CONST/PAVE REPLACE                 ")</f>
        <v xml:space="preserve">CONST/PAVE REPLACE                 </v>
      </c>
      <c r="J300" t="str">
        <f>CLEAN("STH 100")</f>
        <v>STH 100</v>
      </c>
      <c r="K300" t="str">
        <f t="shared" si="113"/>
        <v xml:space="preserve">MILWAUKEE                     </v>
      </c>
      <c r="L300" t="str">
        <f>CLEAN("C FRANKLIN, RYAN RD/ST MARTINS RD  ")</f>
        <v xml:space="preserve">C FRANKLIN, RYAN RD/ST MARTINS RD  </v>
      </c>
      <c r="M300" t="str">
        <f>CLEAN("60TH STREET TO ST MARTINS ROAD     ")</f>
        <v xml:space="preserve">60TH STREET TO ST MARTINS ROAD     </v>
      </c>
      <c r="N300">
        <v>2.9580000000000002</v>
      </c>
      <c r="O300" t="str">
        <f>CLEAN("          ")</f>
        <v xml:space="preserve">          </v>
      </c>
      <c r="P3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1" spans="1:16" x14ac:dyDescent="0.25">
      <c r="A301" t="str">
        <f t="shared" si="96"/>
        <v>10</v>
      </c>
      <c r="B301" t="str">
        <f t="shared" si="110"/>
        <v>22</v>
      </c>
      <c r="C301" s="1">
        <v>45335</v>
      </c>
      <c r="D301" t="str">
        <f>CLEAN("2040-20-70")</f>
        <v>2040-20-70</v>
      </c>
      <c r="E301" t="str">
        <f>CLEAN("303  ")</f>
        <v xml:space="preserve">303  </v>
      </c>
      <c r="F301" t="str">
        <f>CLEAN("$1,000,000 - $1,999,999  ")</f>
        <v xml:space="preserve">$1,000,000 - $1,999,999  </v>
      </c>
      <c r="G301" t="str">
        <f t="shared" si="111"/>
        <v>LET</v>
      </c>
      <c r="H301" t="str">
        <f t="shared" si="112"/>
        <v xml:space="preserve">LET CONSTRUCTION         </v>
      </c>
      <c r="I301" t="str">
        <f>CLEAN("CONST/BRIDGE REHABILITATION        ")</f>
        <v xml:space="preserve">CONST/BRIDGE REHABILITATION        </v>
      </c>
      <c r="J301" t="str">
        <f>CLEAN("STH 100")</f>
        <v>STH 100</v>
      </c>
      <c r="K301" t="str">
        <f t="shared" si="113"/>
        <v xml:space="preserve">MILWAUKEE                     </v>
      </c>
      <c r="L301" t="str">
        <f>CLEAN("C OAK CREEK, RYAN ROAD             ")</f>
        <v xml:space="preserve">C OAK CREEK, RYAN ROAD             </v>
      </c>
      <c r="M301" t="str">
        <f>CLEAN("BRIDGE OVER RR B-40-530            ")</f>
        <v xml:space="preserve">BRIDGE OVER RR B-40-530            </v>
      </c>
      <c r="N301">
        <v>9.1999999999999998E-2</v>
      </c>
      <c r="O301" t="str">
        <f>CLEAN("2040-03-75")</f>
        <v>2040-03-75</v>
      </c>
      <c r="P30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2" spans="1:16" x14ac:dyDescent="0.25">
      <c r="A302" t="str">
        <f t="shared" si="96"/>
        <v>10</v>
      </c>
      <c r="B302" t="str">
        <f t="shared" si="110"/>
        <v>22</v>
      </c>
      <c r="C302" s="1">
        <v>45347</v>
      </c>
      <c r="D302" t="str">
        <f>CLEAN("2050-08-21")</f>
        <v>2050-08-21</v>
      </c>
      <c r="E302" t="str">
        <f>CLEAN("206  ")</f>
        <v xml:space="preserve">206  </v>
      </c>
      <c r="F302" t="str">
        <f>CLEAN("$250,000 - $499,999      ")</f>
        <v xml:space="preserve">$250,000 - $499,999      </v>
      </c>
      <c r="G302" t="str">
        <f>CLEAN("R/E")</f>
        <v>R/E</v>
      </c>
      <c r="H302" t="str">
        <f>CLEAN("NONLET CONSTR/REAL ESTATE")</f>
        <v>NONLET CONSTR/REAL ESTATE</v>
      </c>
      <c r="I302" t="str">
        <f>CLEAN("RE/RECONSTRUCT NO ADD'L LANES      ")</f>
        <v xml:space="preserve">RE/RECONSTRUCT NO ADD'L LANES      </v>
      </c>
      <c r="J302" t="str">
        <f>CLEAN("CTH BB ")</f>
        <v xml:space="preserve">CTH BB </v>
      </c>
      <c r="K302" t="str">
        <f t="shared" si="113"/>
        <v xml:space="preserve">MILWAUKEE                     </v>
      </c>
      <c r="L302" t="str">
        <f>CLEAN("C OAK CREEK W RAWSON AVENUE        ")</f>
        <v xml:space="preserve">C OAK CREEK W RAWSON AVENUE        </v>
      </c>
      <c r="M302" t="str">
        <f>CLEAN("S 13TH STREET TO S HOWELL AVENUE   ")</f>
        <v xml:space="preserve">S 13TH STREET TO S HOWELL AVENUE   </v>
      </c>
      <c r="N302">
        <v>1.0029999999999999</v>
      </c>
      <c r="O302" t="str">
        <f>CLEAN("          ")</f>
        <v xml:space="preserve">          </v>
      </c>
      <c r="P30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03" spans="1:16" x14ac:dyDescent="0.25">
      <c r="A303" t="str">
        <f t="shared" si="96"/>
        <v>10</v>
      </c>
      <c r="B303" t="str">
        <f t="shared" si="110"/>
        <v>22</v>
      </c>
      <c r="C303" s="1">
        <v>45363</v>
      </c>
      <c r="D303" t="str">
        <f>CLEAN("2050-12-70")</f>
        <v>2050-12-70</v>
      </c>
      <c r="E303" t="str">
        <f>CLEAN("206  ")</f>
        <v xml:space="preserve">206  </v>
      </c>
      <c r="F303" t="str">
        <f>CLEAN("$500,000 - $749,999      ")</f>
        <v xml:space="preserve">$500,000 - $749,999      </v>
      </c>
      <c r="G303" t="str">
        <f>CLEAN("LET")</f>
        <v>LET</v>
      </c>
      <c r="H303" t="str">
        <f>CLEAN("LET CONSTRUCTION         ")</f>
        <v xml:space="preserve">LET CONSTRUCTION         </v>
      </c>
      <c r="I303" t="str">
        <f>CLEAN("CONST/HSIP                         ")</f>
        <v xml:space="preserve">CONST/HSIP                         </v>
      </c>
      <c r="J303" t="str">
        <f>CLEAN("CTH BB ")</f>
        <v xml:space="preserve">CTH BB </v>
      </c>
      <c r="K303" t="str">
        <f t="shared" si="113"/>
        <v xml:space="preserve">MILWAUKEE                     </v>
      </c>
      <c r="L303" t="str">
        <f>CLEAN("C FRANKLIN W RAWSON AVENUE         ")</f>
        <v xml:space="preserve">C FRANKLIN W RAWSON AVENUE         </v>
      </c>
      <c r="M303" t="str">
        <f>CLEAN("INTERSECTIONS WITH 68TH,51ST &amp; 31ST")</f>
        <v>INTERSECTIONS WITH 68TH,51ST &amp; 31ST</v>
      </c>
      <c r="N303">
        <v>0</v>
      </c>
      <c r="O303" t="str">
        <f>CLEAN("2305-02-70")</f>
        <v>2305-02-70</v>
      </c>
      <c r="P30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04" spans="1:16" x14ac:dyDescent="0.25">
      <c r="A304" t="str">
        <f t="shared" si="96"/>
        <v>10</v>
      </c>
      <c r="B304" t="str">
        <f t="shared" si="110"/>
        <v>22</v>
      </c>
      <c r="C304" s="1">
        <v>45316</v>
      </c>
      <c r="D304" t="str">
        <f>CLEAN("2060-18-20")</f>
        <v>2060-18-20</v>
      </c>
      <c r="E304" t="str">
        <f>CLEAN("303  ")</f>
        <v xml:space="preserve">303  </v>
      </c>
      <c r="F304" t="str">
        <f>CLEAN("$0 - $99,999             ")</f>
        <v xml:space="preserve">$0 - $99,999             </v>
      </c>
      <c r="G304" t="str">
        <f>CLEAN("R/E")</f>
        <v>R/E</v>
      </c>
      <c r="H304" t="str">
        <f>CLEAN("NONLET CONSTR/REAL ESTATE")</f>
        <v>NONLET CONSTR/REAL ESTATE</v>
      </c>
      <c r="I304" t="str">
        <f>CLEAN("RE/BRIDGE REPLACEMENT              ")</f>
        <v xml:space="preserve">RE/BRIDGE REPLACEMENT              </v>
      </c>
      <c r="J304" t="str">
        <f>CLEAN("STH 038")</f>
        <v>STH 038</v>
      </c>
      <c r="K304" t="str">
        <f t="shared" si="113"/>
        <v xml:space="preserve">MILWAUKEE                     </v>
      </c>
      <c r="L304" t="str">
        <f>CLEAN("CHASE AVE, CITY OF MILWAUKEE       ")</f>
        <v xml:space="preserve">CHASE AVE, CITY OF MILWAUKEE       </v>
      </c>
      <c r="M304" t="str">
        <f>CLEAN("BRIDGE OVER UP RR B40-571          ")</f>
        <v xml:space="preserve">BRIDGE OVER UP RR B40-571          </v>
      </c>
      <c r="N304">
        <v>0</v>
      </c>
      <c r="O304" t="str">
        <f t="shared" ref="O304:O331" si="114">CLEAN("          ")</f>
        <v xml:space="preserve">          </v>
      </c>
      <c r="P30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5" spans="1:16" x14ac:dyDescent="0.25">
      <c r="A305" t="str">
        <f t="shared" si="96"/>
        <v>10</v>
      </c>
      <c r="B305" t="str">
        <f t="shared" si="110"/>
        <v>22</v>
      </c>
      <c r="C305" s="1">
        <v>45376</v>
      </c>
      <c r="D305" t="str">
        <f>CLEAN("2060-20-20")</f>
        <v>2060-20-20</v>
      </c>
      <c r="E305" t="str">
        <f>CLEAN("303  ")</f>
        <v xml:space="preserve">303  </v>
      </c>
      <c r="F305" t="str">
        <f>CLEAN("$0 - $99,999             ")</f>
        <v xml:space="preserve">$0 - $99,999             </v>
      </c>
      <c r="G305" t="str">
        <f>CLEAN("R/E")</f>
        <v>R/E</v>
      </c>
      <c r="H305" t="str">
        <f>CLEAN("NONLET CONSTR/REAL ESTATE")</f>
        <v>NONLET CONSTR/REAL ESTATE</v>
      </c>
      <c r="I305" t="str">
        <f>CLEAN("RE/RSRF20                          ")</f>
        <v xml:space="preserve">RE/RSRF20                          </v>
      </c>
      <c r="J305" t="str">
        <f>CLEAN("STH 038")</f>
        <v>STH 038</v>
      </c>
      <c r="K305" t="str">
        <f t="shared" si="113"/>
        <v xml:space="preserve">MILWAUKEE                     </v>
      </c>
      <c r="L305" t="str">
        <f>CLEAN("RACINE-MILWAUKEE                   ")</f>
        <v xml:space="preserve">RACINE-MILWAUKEE                   </v>
      </c>
      <c r="M305" t="str">
        <f>CLEAN("OAKWOOD RD TO GRANGE AVE           ")</f>
        <v xml:space="preserve">OAKWOOD RD TO GRANGE AVE           </v>
      </c>
      <c r="N305">
        <v>6.3680000000000003</v>
      </c>
      <c r="O305" t="str">
        <f t="shared" si="114"/>
        <v xml:space="preserve">          </v>
      </c>
      <c r="P30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6" spans="1:16" x14ac:dyDescent="0.25">
      <c r="A306" t="str">
        <f t="shared" si="96"/>
        <v>10</v>
      </c>
      <c r="B306" t="str">
        <f t="shared" si="110"/>
        <v>22</v>
      </c>
      <c r="C306" s="1">
        <v>45545</v>
      </c>
      <c r="D306" t="str">
        <f>CLEAN("2120-18-70")</f>
        <v>2120-18-70</v>
      </c>
      <c r="E306" t="str">
        <f>CLEAN("303  ")</f>
        <v xml:space="preserve">303  </v>
      </c>
      <c r="F306" t="str">
        <f>CLEAN("$15,000,000 - $16,999,999")</f>
        <v>$15,000,000 - $16,999,999</v>
      </c>
      <c r="G306" t="str">
        <f>CLEAN("LET")</f>
        <v>LET</v>
      </c>
      <c r="H306" t="str">
        <f>CLEAN("LET CONSTRUCTION         ")</f>
        <v xml:space="preserve">LET CONSTRUCTION         </v>
      </c>
      <c r="I306" t="str">
        <f>CLEAN("CONST/RESURFACE                    ")</f>
        <v xml:space="preserve">CONST/RESURFACE                    </v>
      </c>
      <c r="J306" t="str">
        <f>CLEAN("STH 024")</f>
        <v>STH 024</v>
      </c>
      <c r="K306" t="str">
        <f t="shared" si="113"/>
        <v xml:space="preserve">MILWAUKEE                     </v>
      </c>
      <c r="L306" t="str">
        <f>CLEAN("HALES CORNERS - MILWAUKEE          ")</f>
        <v xml:space="preserve">HALES CORNERS - MILWAUKEE          </v>
      </c>
      <c r="M306" t="str">
        <f>CLEAN("USH 45 TO 45TH STREET              ")</f>
        <v xml:space="preserve">USH 45 TO 45TH STREET              </v>
      </c>
      <c r="N306">
        <v>5.133</v>
      </c>
      <c r="O306" t="str">
        <f t="shared" si="114"/>
        <v xml:space="preserve">          </v>
      </c>
      <c r="P3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7" spans="1:16" x14ac:dyDescent="0.25">
      <c r="A307" t="str">
        <f t="shared" si="96"/>
        <v>10</v>
      </c>
      <c r="B307" t="str">
        <f t="shared" si="110"/>
        <v>22</v>
      </c>
      <c r="C307" s="1">
        <v>45651</v>
      </c>
      <c r="D307" t="str">
        <f>CLEAN("2160-19-70")</f>
        <v>2160-19-70</v>
      </c>
      <c r="E307" t="str">
        <f>CLEAN("211  ")</f>
        <v xml:space="preserve">211  </v>
      </c>
      <c r="F307" t="str">
        <f>CLEAN("$250,000 - $499,999      ")</f>
        <v xml:space="preserve">$250,000 - $499,999      </v>
      </c>
      <c r="G307" t="str">
        <f>CLEAN("MIS")</f>
        <v>MIS</v>
      </c>
      <c r="H307" t="str">
        <f>CLEAN("NONLET CONSTR/REAL ESTATE")</f>
        <v>NONLET CONSTR/REAL ESTATE</v>
      </c>
      <c r="I307" t="str">
        <f>CLEAN("CNST/ADAPTIVE TRAFFIC SIGNAL SYSTEM")</f>
        <v>CNST/ADAPTIVE TRAFFIC SIGNAL SYSTEM</v>
      </c>
      <c r="J307" t="str">
        <f>CLEAN("LOC STR")</f>
        <v>LOC STR</v>
      </c>
      <c r="K307" t="str">
        <f t="shared" si="113"/>
        <v xml:space="preserve">MILWAUKEE                     </v>
      </c>
      <c r="L307" t="str">
        <f>CLEAN("GREENFIELD - WEST ALLIS            ")</f>
        <v xml:space="preserve">GREENFIELD - WEST ALLIS            </v>
      </c>
      <c r="M307" t="str">
        <f>CLEAN("OKLAHOMA-COLD SPRING &amp; 92ND-76TH   ")</f>
        <v xml:space="preserve">OKLAHOMA-COLD SPRING &amp; 92ND-76TH   </v>
      </c>
      <c r="N307">
        <v>0</v>
      </c>
      <c r="O307" t="str">
        <f t="shared" si="114"/>
        <v xml:space="preserve">          </v>
      </c>
      <c r="P307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08" spans="1:16" x14ac:dyDescent="0.25">
      <c r="A308" t="str">
        <f t="shared" si="96"/>
        <v>10</v>
      </c>
      <c r="B308" t="str">
        <f t="shared" si="110"/>
        <v>22</v>
      </c>
      <c r="C308" s="1">
        <v>45590</v>
      </c>
      <c r="D308" t="str">
        <f>CLEAN("2165-05-20")</f>
        <v>2165-05-20</v>
      </c>
      <c r="E308" t="str">
        <f t="shared" ref="E308:E313" si="115">CLEAN("303  ")</f>
        <v xml:space="preserve">303  </v>
      </c>
      <c r="F308" t="str">
        <f>CLEAN("$0 - $99,999             ")</f>
        <v xml:space="preserve">$0 - $99,999             </v>
      </c>
      <c r="G308" t="str">
        <f>CLEAN("R/E")</f>
        <v>R/E</v>
      </c>
      <c r="H308" t="str">
        <f>CLEAN("NONLET CONSTR/REAL ESTATE")</f>
        <v>NONLET CONSTR/REAL ESTATE</v>
      </c>
      <c r="I308" t="str">
        <f>CLEAN("RE/PVRPLA                          ")</f>
        <v xml:space="preserve">RE/PVRPLA                          </v>
      </c>
      <c r="J308" t="str">
        <f>CLEAN("STH 181")</f>
        <v>STH 181</v>
      </c>
      <c r="K308" t="str">
        <f t="shared" si="113"/>
        <v xml:space="preserve">MILWAUKEE                     </v>
      </c>
      <c r="L308" t="str">
        <f>CLEAN("C WEST ALLIS, S 84TH ST            ")</f>
        <v xml:space="preserve">C WEST ALLIS, S 84TH ST            </v>
      </c>
      <c r="M308" t="str">
        <f>CLEAN("W GREENFIELD AVE TO W ADLER AVE    ")</f>
        <v xml:space="preserve">W GREENFIELD AVE TO W ADLER AVE    </v>
      </c>
      <c r="N308">
        <v>0.7</v>
      </c>
      <c r="O308" t="str">
        <f t="shared" si="114"/>
        <v xml:space="preserve">          </v>
      </c>
      <c r="P308" t="str">
        <f t="shared" ref="P308:P313" si="116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09" spans="1:16" x14ac:dyDescent="0.25">
      <c r="A309" t="str">
        <f t="shared" si="96"/>
        <v>10</v>
      </c>
      <c r="B309" t="str">
        <f t="shared" si="110"/>
        <v>22</v>
      </c>
      <c r="C309" s="1">
        <v>45590</v>
      </c>
      <c r="D309" t="str">
        <f>CLEAN("2165-05-21")</f>
        <v>2165-05-21</v>
      </c>
      <c r="E309" t="str">
        <f t="shared" si="115"/>
        <v xml:space="preserve">303  </v>
      </c>
      <c r="F309" t="str">
        <f>CLEAN("$0 - $99,999             ")</f>
        <v xml:space="preserve">$0 - $99,999             </v>
      </c>
      <c r="G309" t="str">
        <f>CLEAN("R/E")</f>
        <v>R/E</v>
      </c>
      <c r="H309" t="str">
        <f>CLEAN("NONLET CONSTR/REAL ESTATE")</f>
        <v>NONLET CONSTR/REAL ESTATE</v>
      </c>
      <c r="I309" t="str">
        <f>CLEAN("RE/PAVEMENT REPLACEMENT            ")</f>
        <v xml:space="preserve">RE/PAVEMENT REPLACEMENT            </v>
      </c>
      <c r="J309" t="str">
        <f>CLEAN("STH 181")</f>
        <v>STH 181</v>
      </c>
      <c r="K309" t="str">
        <f t="shared" si="113"/>
        <v xml:space="preserve">MILWAUKEE                     </v>
      </c>
      <c r="L309" t="str">
        <f>CLEAN("C MILWAUKEE, S 84TH ST             ")</f>
        <v xml:space="preserve">C MILWAUKEE, S 84TH ST             </v>
      </c>
      <c r="M309" t="str">
        <f>CLEAN("W GREENFIELD AVE TO W ADLER AVE    ")</f>
        <v xml:space="preserve">W GREENFIELD AVE TO W ADLER AVE    </v>
      </c>
      <c r="N309">
        <v>0.7</v>
      </c>
      <c r="O309" t="str">
        <f t="shared" si="114"/>
        <v xml:space="preserve">          </v>
      </c>
      <c r="P309" t="str">
        <f t="shared" si="116"/>
        <v xml:space="preserve">STATE 3R                                                                                            </v>
      </c>
    </row>
    <row r="310" spans="1:16" x14ac:dyDescent="0.25">
      <c r="A310" t="str">
        <f t="shared" si="96"/>
        <v>10</v>
      </c>
      <c r="B310" t="str">
        <f t="shared" si="110"/>
        <v>22</v>
      </c>
      <c r="C310" s="1">
        <v>45272</v>
      </c>
      <c r="D310" t="str">
        <f>CLEAN("2195-04-70")</f>
        <v>2195-04-70</v>
      </c>
      <c r="E310" t="str">
        <f t="shared" si="115"/>
        <v xml:space="preserve">303  </v>
      </c>
      <c r="F310" t="str">
        <f>CLEAN("$3,000,000 - $3,999,999  ")</f>
        <v xml:space="preserve">$3,000,000 - $3,999,999  </v>
      </c>
      <c r="G310" t="str">
        <f>CLEAN("LET")</f>
        <v>LET</v>
      </c>
      <c r="H310" t="str">
        <f>CLEAN("LET CONSTRUCTION         ")</f>
        <v xml:space="preserve">LET CONSTRUCTION         </v>
      </c>
      <c r="I310" t="str">
        <f>CLEAN("CONST/RECONSTRUCT NO ADDL LANES    ")</f>
        <v xml:space="preserve">CONST/RECONSTRUCT NO ADDL LANES    </v>
      </c>
      <c r="J310" t="str">
        <f>CLEAN("STH 032")</f>
        <v>STH 032</v>
      </c>
      <c r="K310" t="str">
        <f t="shared" si="113"/>
        <v xml:space="preserve">MILWAUKEE                     </v>
      </c>
      <c r="L310" t="str">
        <f>CLEAN("C MILWAUKEE WELLS STREET           ")</f>
        <v xml:space="preserve">C MILWAUKEE WELLS STREET           </v>
      </c>
      <c r="M310" t="str">
        <f>CLEAN("N BROADWAY TO N VAN BUREN STREET   ")</f>
        <v xml:space="preserve">N BROADWAY TO N VAN BUREN STREET   </v>
      </c>
      <c r="N310">
        <v>0.26</v>
      </c>
      <c r="O310" t="str">
        <f t="shared" si="114"/>
        <v xml:space="preserve">          </v>
      </c>
      <c r="P310" t="str">
        <f t="shared" si="116"/>
        <v xml:space="preserve">STATE 3R                                                                                            </v>
      </c>
    </row>
    <row r="311" spans="1:16" x14ac:dyDescent="0.25">
      <c r="A311" t="str">
        <f t="shared" si="96"/>
        <v>10</v>
      </c>
      <c r="B311" t="str">
        <f t="shared" si="110"/>
        <v>22</v>
      </c>
      <c r="C311" s="1">
        <v>45621</v>
      </c>
      <c r="D311" t="str">
        <f>CLEAN("2219-05-21")</f>
        <v>2219-05-21</v>
      </c>
      <c r="E311" t="str">
        <f t="shared" si="115"/>
        <v xml:space="preserve">303  </v>
      </c>
      <c r="F311" t="str">
        <f>CLEAN("$0 - $99,999             ")</f>
        <v xml:space="preserve">$0 - $99,999             </v>
      </c>
      <c r="G311" t="str">
        <f>CLEAN("R/E")</f>
        <v>R/E</v>
      </c>
      <c r="H311" t="str">
        <f>CLEAN("NONLET CONSTR/REAL ESTATE")</f>
        <v>NONLET CONSTR/REAL ESTATE</v>
      </c>
      <c r="I311" t="str">
        <f>CLEAN("RE/PAVE REPLACE                    ")</f>
        <v xml:space="preserve">RE/PAVE REPLACE                    </v>
      </c>
      <c r="J311" t="str">
        <f>CLEAN("STH 032")</f>
        <v>STH 032</v>
      </c>
      <c r="K311" t="str">
        <f t="shared" si="113"/>
        <v xml:space="preserve">MILWAUKEE                     </v>
      </c>
      <c r="L311" t="str">
        <f>CLEAN("C MILW, 1ST ST/E PITTSBURGH/MILW ST")</f>
        <v>C MILW, 1ST ST/E PITTSBURGH/MILW ST</v>
      </c>
      <c r="M311" t="str">
        <f>CLEAN("E FLORIDA ST TO E ST PAUL AVE      ")</f>
        <v xml:space="preserve">E FLORIDA ST TO E ST PAUL AVE      </v>
      </c>
      <c r="N311">
        <v>0.61599999999999999</v>
      </c>
      <c r="O311" t="str">
        <f t="shared" si="114"/>
        <v xml:space="preserve">          </v>
      </c>
      <c r="P311" t="str">
        <f t="shared" si="116"/>
        <v xml:space="preserve">STATE 3R                                                                                            </v>
      </c>
    </row>
    <row r="312" spans="1:16" x14ac:dyDescent="0.25">
      <c r="A312" t="str">
        <f t="shared" ref="A312:A375" si="117">CLEAN("10")</f>
        <v>10</v>
      </c>
      <c r="B312" t="str">
        <f t="shared" si="110"/>
        <v>22</v>
      </c>
      <c r="C312" s="1">
        <v>45608</v>
      </c>
      <c r="D312" t="str">
        <f>CLEAN("2225-13-70")</f>
        <v>2225-13-70</v>
      </c>
      <c r="E312" t="str">
        <f t="shared" si="115"/>
        <v xml:space="preserve">303  </v>
      </c>
      <c r="F312" t="str">
        <f>CLEAN("$9,000,000 - $9,999,999  ")</f>
        <v xml:space="preserve">$9,000,000 - $9,999,999  </v>
      </c>
      <c r="G312" t="str">
        <f>CLEAN("LET")</f>
        <v>LET</v>
      </c>
      <c r="H312" t="str">
        <f>CLEAN("LET CONSTRUCTION         ")</f>
        <v xml:space="preserve">LET CONSTRUCTION         </v>
      </c>
      <c r="I312" t="str">
        <f>CLEAN("CONST/PAVEMENT REPLACEMENT         ")</f>
        <v xml:space="preserve">CONST/PAVEMENT REPLACEMENT         </v>
      </c>
      <c r="J312" t="str">
        <f>CLEAN("STH 032")</f>
        <v>STH 032</v>
      </c>
      <c r="K312" t="str">
        <f t="shared" si="113"/>
        <v xml:space="preserve">MILWAUKEE                     </v>
      </c>
      <c r="L312" t="str">
        <f>CLEAN("V SHOREWOOD, N LAKE DR             ")</f>
        <v xml:space="preserve">V SHOREWOOD, N LAKE DR             </v>
      </c>
      <c r="M312" t="str">
        <f>CLEAN("EDGEWOOD AVE TO KENSINGTON BLVD    ")</f>
        <v xml:space="preserve">EDGEWOOD AVE TO KENSINGTON BLVD    </v>
      </c>
      <c r="N312">
        <v>1.216</v>
      </c>
      <c r="O312" t="str">
        <f t="shared" si="114"/>
        <v xml:space="preserve">          </v>
      </c>
      <c r="P312" t="str">
        <f t="shared" si="116"/>
        <v xml:space="preserve">STATE 3R                                                                                            </v>
      </c>
    </row>
    <row r="313" spans="1:16" x14ac:dyDescent="0.25">
      <c r="A313" t="str">
        <f t="shared" si="117"/>
        <v>10</v>
      </c>
      <c r="B313" t="str">
        <f t="shared" si="110"/>
        <v>22</v>
      </c>
      <c r="C313" s="1">
        <v>45426</v>
      </c>
      <c r="D313" t="str">
        <f>CLEAN("2225-15-70")</f>
        <v>2225-15-70</v>
      </c>
      <c r="E313" t="str">
        <f t="shared" si="115"/>
        <v xml:space="preserve">303  </v>
      </c>
      <c r="F313" t="str">
        <f>CLEAN("$7,000,000 - $7,999,999  ")</f>
        <v xml:space="preserve">$7,000,000 - $7,999,999  </v>
      </c>
      <c r="G313" t="str">
        <f>CLEAN("LET")</f>
        <v>LET</v>
      </c>
      <c r="H313" t="str">
        <f>CLEAN("LET CONSTRUCTION         ")</f>
        <v xml:space="preserve">LET CONSTRUCTION         </v>
      </c>
      <c r="I313" t="str">
        <f>CLEAN("CONST/PAVEMENT REPLACEMENT         ")</f>
        <v xml:space="preserve">CONST/PAVEMENT REPLACEMENT         </v>
      </c>
      <c r="J313" t="str">
        <f>CLEAN("STH 032")</f>
        <v>STH 032</v>
      </c>
      <c r="K313" t="str">
        <f t="shared" si="113"/>
        <v xml:space="preserve">MILWAUKEE                     </v>
      </c>
      <c r="L313" t="str">
        <f>CLEAN("C MILWAUKEE, N LAKE DR             ")</f>
        <v xml:space="preserve">C MILWAUKEE, N LAKE DR             </v>
      </c>
      <c r="M313" t="str">
        <f>CLEAN("NEWBERRY BLVD TO EDGEWOOD AVE      ")</f>
        <v xml:space="preserve">NEWBERRY BLVD TO EDGEWOOD AVE      </v>
      </c>
      <c r="N313">
        <v>0.85199999999999998</v>
      </c>
      <c r="O313" t="str">
        <f t="shared" si="114"/>
        <v xml:space="preserve">          </v>
      </c>
      <c r="P313" t="str">
        <f t="shared" si="116"/>
        <v xml:space="preserve">STATE 3R                                                                                            </v>
      </c>
    </row>
    <row r="314" spans="1:16" x14ac:dyDescent="0.25">
      <c r="A314" t="str">
        <f t="shared" si="117"/>
        <v>10</v>
      </c>
      <c r="B314" t="str">
        <f t="shared" si="110"/>
        <v>22</v>
      </c>
      <c r="C314" s="1">
        <v>45376</v>
      </c>
      <c r="D314" t="str">
        <f>CLEAN("2225-22-70")</f>
        <v>2225-22-70</v>
      </c>
      <c r="E314" t="str">
        <f>CLEAN("290  ")</f>
        <v xml:space="preserve">290  </v>
      </c>
      <c r="F314" t="str">
        <f>CLEAN("$0 - $99,999             ")</f>
        <v xml:space="preserve">$0 - $99,999             </v>
      </c>
      <c r="G314" t="str">
        <f>CLEAN("MIS")</f>
        <v>MIS</v>
      </c>
      <c r="H314" t="str">
        <f>CLEAN("NONLET CONSTR/REAL ESTATE")</f>
        <v>NONLET CONSTR/REAL ESTATE</v>
      </c>
      <c r="I314" t="str">
        <f>CLEAN("CONST/PED IMPROVEMENTS             ")</f>
        <v xml:space="preserve">CONST/PED IMPROVEMENTS             </v>
      </c>
      <c r="J314" t="str">
        <f>CLEAN("NON HWY")</f>
        <v>NON HWY</v>
      </c>
      <c r="K314" t="str">
        <f t="shared" si="113"/>
        <v xml:space="preserve">MILWAUKEE                     </v>
      </c>
      <c r="L314" t="str">
        <f>CLEAN("BROWN DEER RD PED CRSWLK ENHNCMNT  ")</f>
        <v xml:space="preserve">BROWN DEER RD PED CRSWLK ENHNCMNT  </v>
      </c>
      <c r="M314" t="str">
        <f>CLEAN("INTERSECTIONS WITH PELHAM &amp; REGENT ")</f>
        <v xml:space="preserve">INTERSECTIONS WITH PELHAM &amp; REGENT </v>
      </c>
      <c r="N314">
        <v>0</v>
      </c>
      <c r="O314" t="str">
        <f t="shared" si="114"/>
        <v xml:space="preserve">          </v>
      </c>
      <c r="P314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15" spans="1:16" x14ac:dyDescent="0.25">
      <c r="A315" t="str">
        <f t="shared" si="117"/>
        <v>10</v>
      </c>
      <c r="B315" t="str">
        <f t="shared" si="110"/>
        <v>22</v>
      </c>
      <c r="C315" s="1">
        <v>45590</v>
      </c>
      <c r="D315" t="str">
        <f>CLEAN("2230-05-22")</f>
        <v>2230-05-22</v>
      </c>
      <c r="E315" t="str">
        <f>CLEAN("303  ")</f>
        <v xml:space="preserve">303  </v>
      </c>
      <c r="F315" t="str">
        <f>CLEAN("$0 - $99,999             ")</f>
        <v xml:space="preserve">$0 - $99,999             </v>
      </c>
      <c r="G315" t="str">
        <f>CLEAN("R/E")</f>
        <v>R/E</v>
      </c>
      <c r="H315" t="str">
        <f>CLEAN("NONLET CONSTR/REAL ESTATE")</f>
        <v>NONLET CONSTR/REAL ESTATE</v>
      </c>
      <c r="I315" t="str">
        <f>CLEAN("RE/PAVEMENT REPLACEMENT            ")</f>
        <v xml:space="preserve">RE/PAVEMENT REPLACEMENT            </v>
      </c>
      <c r="J315" t="str">
        <f>CLEAN("STH 059")</f>
        <v>STH 059</v>
      </c>
      <c r="K315" t="str">
        <f t="shared" si="113"/>
        <v xml:space="preserve">MILWAUKEE                     </v>
      </c>
      <c r="L315" t="str">
        <f>CLEAN("C WEST ALLIS, GREENFIELD AVE       ")</f>
        <v xml:space="preserve">C WEST ALLIS, GREENFIELD AVE       </v>
      </c>
      <c r="M315" t="str">
        <f>CLEAN("S 84TH ST TO S 76TH ST             ")</f>
        <v xml:space="preserve">S 84TH ST TO S 76TH ST             </v>
      </c>
      <c r="N315">
        <v>0.49299999999999999</v>
      </c>
      <c r="O315" t="str">
        <f t="shared" si="114"/>
        <v xml:space="preserve">          </v>
      </c>
      <c r="P3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16" spans="1:16" x14ac:dyDescent="0.25">
      <c r="A316" t="str">
        <f t="shared" si="117"/>
        <v>10</v>
      </c>
      <c r="B316" t="str">
        <f t="shared" si="110"/>
        <v>22</v>
      </c>
      <c r="C316" s="1">
        <v>45590</v>
      </c>
      <c r="D316" t="str">
        <f>CLEAN("2230-05-23")</f>
        <v>2230-05-23</v>
      </c>
      <c r="E316" t="str">
        <f>CLEAN("303  ")</f>
        <v xml:space="preserve">303  </v>
      </c>
      <c r="F316" t="str">
        <f>CLEAN("$0 - $99,999             ")</f>
        <v xml:space="preserve">$0 - $99,999             </v>
      </c>
      <c r="G316" t="str">
        <f>CLEAN("R/E")</f>
        <v>R/E</v>
      </c>
      <c r="H316" t="str">
        <f>CLEAN("NONLET CONSTR/REAL ESTATE")</f>
        <v>NONLET CONSTR/REAL ESTATE</v>
      </c>
      <c r="I316" t="str">
        <f>CLEAN("RE/PVRPLA                          ")</f>
        <v xml:space="preserve">RE/PVRPLA                          </v>
      </c>
      <c r="J316" t="str">
        <f>CLEAN("STH 059")</f>
        <v>STH 059</v>
      </c>
      <c r="K316" t="str">
        <f t="shared" si="113"/>
        <v xml:space="preserve">MILWAUKEE                     </v>
      </c>
      <c r="L316" t="str">
        <f>CLEAN("C WEST ALLIS, GREENFIELD AVE       ")</f>
        <v xml:space="preserve">C WEST ALLIS, GREENFIELD AVE       </v>
      </c>
      <c r="M316" t="str">
        <f>CLEAN("S 76TH ST TO S 70TH ST             ")</f>
        <v xml:space="preserve">S 76TH ST TO S 70TH ST             </v>
      </c>
      <c r="N316">
        <v>0.35899999999999999</v>
      </c>
      <c r="O316" t="str">
        <f t="shared" si="114"/>
        <v xml:space="preserve">          </v>
      </c>
      <c r="P3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17" spans="1:16" x14ac:dyDescent="0.25">
      <c r="A317" t="str">
        <f t="shared" si="117"/>
        <v>10</v>
      </c>
      <c r="B317" t="str">
        <f t="shared" si="110"/>
        <v>22</v>
      </c>
      <c r="C317" s="1">
        <v>45590</v>
      </c>
      <c r="D317" t="str">
        <f>CLEAN("2230-05-24")</f>
        <v>2230-05-24</v>
      </c>
      <c r="E317" t="str">
        <f>CLEAN("303  ")</f>
        <v xml:space="preserve">303  </v>
      </c>
      <c r="F317" t="str">
        <f>CLEAN("$0 - $99,999             ")</f>
        <v xml:space="preserve">$0 - $99,999             </v>
      </c>
      <c r="G317" t="str">
        <f>CLEAN("R/E")</f>
        <v>R/E</v>
      </c>
      <c r="H317" t="str">
        <f>CLEAN("NONLET CONSTR/REAL ESTATE")</f>
        <v>NONLET CONSTR/REAL ESTATE</v>
      </c>
      <c r="I317" t="str">
        <f>CLEAN("RE/PVRPLA                          ")</f>
        <v xml:space="preserve">RE/PVRPLA                          </v>
      </c>
      <c r="J317" t="str">
        <f>CLEAN("STH 059")</f>
        <v>STH 059</v>
      </c>
      <c r="K317" t="str">
        <f t="shared" si="113"/>
        <v xml:space="preserve">MILWAUKEE                     </v>
      </c>
      <c r="L317" t="str">
        <f>CLEAN("C WEST ALLIS, GREENFIELD, NATIONAL ")</f>
        <v xml:space="preserve">C WEST ALLIS, GREENFIELD, NATIONAL </v>
      </c>
      <c r="M317" t="str">
        <f>CLEAN("S 70TH ST TO S 56TH ST             ")</f>
        <v xml:space="preserve">S 70TH ST TO S 56TH ST             </v>
      </c>
      <c r="N317">
        <v>0.92700000000000005</v>
      </c>
      <c r="O317" t="str">
        <f t="shared" si="114"/>
        <v xml:space="preserve">          </v>
      </c>
      <c r="P3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18" spans="1:16" x14ac:dyDescent="0.25">
      <c r="A318" t="str">
        <f t="shared" si="117"/>
        <v>10</v>
      </c>
      <c r="B318" t="str">
        <f t="shared" si="110"/>
        <v>22</v>
      </c>
      <c r="C318" s="1">
        <v>45300</v>
      </c>
      <c r="D318" t="str">
        <f>CLEAN("2230-07-73")</f>
        <v>2230-07-73</v>
      </c>
      <c r="E318" t="str">
        <f>CLEAN("206  ")</f>
        <v xml:space="preserve">206  </v>
      </c>
      <c r="F318" t="str">
        <f>CLEAN("$4,000,000 - $4,999,999  ")</f>
        <v xml:space="preserve">$4,000,000 - $4,999,999  </v>
      </c>
      <c r="G318" t="str">
        <f>CLEAN("LET")</f>
        <v>LET</v>
      </c>
      <c r="H318" t="str">
        <f>CLEAN("LET CONSTRUCTION         ")</f>
        <v xml:space="preserve">LET CONSTRUCTION         </v>
      </c>
      <c r="I318" t="str">
        <f>CLEAN("CONST/RECONDITION                  ")</f>
        <v xml:space="preserve">CONST/RECONDITION                  </v>
      </c>
      <c r="J318" t="str">
        <f>CLEAN("LOC STR")</f>
        <v>LOC STR</v>
      </c>
      <c r="K318" t="str">
        <f t="shared" si="113"/>
        <v xml:space="preserve">MILWAUKEE                     </v>
      </c>
      <c r="L318" t="str">
        <f>CLEAN("V WEST MILW W GREENFIELD AVENUE    ")</f>
        <v xml:space="preserve">V WEST MILW W GREENFIELD AVENUE    </v>
      </c>
      <c r="M318" t="str">
        <f>CLEAN("S 56TH STREET TO S 47TH STREET     ")</f>
        <v xml:space="preserve">S 56TH STREET TO S 47TH STREET     </v>
      </c>
      <c r="N318">
        <v>0.498</v>
      </c>
      <c r="O318" t="str">
        <f t="shared" si="114"/>
        <v xml:space="preserve">          </v>
      </c>
      <c r="P31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19" spans="1:16" x14ac:dyDescent="0.25">
      <c r="A319" t="str">
        <f t="shared" si="117"/>
        <v>10</v>
      </c>
      <c r="B319" t="str">
        <f t="shared" si="110"/>
        <v>22</v>
      </c>
      <c r="C319" s="1">
        <v>45529</v>
      </c>
      <c r="D319" t="str">
        <f>CLEAN("2230-11-20")</f>
        <v>2230-11-20</v>
      </c>
      <c r="E319" t="str">
        <f>CLEAN("303  ")</f>
        <v xml:space="preserve">303  </v>
      </c>
      <c r="F319" t="str">
        <f>CLEAN("$100,000-$249,999        ")</f>
        <v xml:space="preserve">$100,000-$249,999        </v>
      </c>
      <c r="G319" t="str">
        <f>CLEAN("R/E")</f>
        <v>R/E</v>
      </c>
      <c r="H319" t="str">
        <f>CLEAN("NONLET CONSTR/REAL ESTATE")</f>
        <v>NONLET CONSTR/REAL ESTATE</v>
      </c>
      <c r="I319" t="str">
        <f>CLEAN("RE/RESURFACE                       ")</f>
        <v xml:space="preserve">RE/RESURFACE                       </v>
      </c>
      <c r="J319" t="str">
        <f>CLEAN("STH 059")</f>
        <v>STH 059</v>
      </c>
      <c r="K319" t="str">
        <f t="shared" si="113"/>
        <v xml:space="preserve">MILWAUKEE                     </v>
      </c>
      <c r="L319" t="str">
        <f>CLEAN("C WEST ALLIS, W GREENFIELD AVE     ")</f>
        <v xml:space="preserve">C WEST ALLIS, W GREENFIELD AVE     </v>
      </c>
      <c r="M319" t="str">
        <f>CLEAN("124TH ST TO 106TH STREET           ")</f>
        <v xml:space="preserve">124TH ST TO 106TH STREET           </v>
      </c>
      <c r="N319">
        <v>1.1419999999999999</v>
      </c>
      <c r="O319" t="str">
        <f t="shared" si="114"/>
        <v xml:space="preserve">          </v>
      </c>
      <c r="P31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0" spans="1:16" x14ac:dyDescent="0.25">
      <c r="A320" t="str">
        <f t="shared" si="117"/>
        <v>10</v>
      </c>
      <c r="B320" t="str">
        <f t="shared" si="110"/>
        <v>22</v>
      </c>
      <c r="C320" s="1">
        <v>45529</v>
      </c>
      <c r="D320" t="str">
        <f>CLEAN("2230-11-21")</f>
        <v>2230-11-21</v>
      </c>
      <c r="E320" t="str">
        <f>CLEAN("303  ")</f>
        <v xml:space="preserve">303  </v>
      </c>
      <c r="F320" t="str">
        <f>CLEAN("$0 - $99,999             ")</f>
        <v xml:space="preserve">$0 - $99,999             </v>
      </c>
      <c r="G320" t="str">
        <f>CLEAN("R/E")</f>
        <v>R/E</v>
      </c>
      <c r="H320" t="str">
        <f>CLEAN("NONLET CONSTR/REAL ESTATE")</f>
        <v>NONLET CONSTR/REAL ESTATE</v>
      </c>
      <c r="I320" t="str">
        <f>CLEAN("RE/RESURFACE                       ")</f>
        <v xml:space="preserve">RE/RESURFACE                       </v>
      </c>
      <c r="J320" t="str">
        <f>CLEAN("STH 059")</f>
        <v>STH 059</v>
      </c>
      <c r="K320" t="str">
        <f>CLEAN("WAUKESHA                      ")</f>
        <v xml:space="preserve">WAUKESHA                      </v>
      </c>
      <c r="L320" t="str">
        <f>CLEAN("C WEST ALLIS, W GREENFIELD AVE     ")</f>
        <v xml:space="preserve">C WEST ALLIS, W GREENFIELD AVE     </v>
      </c>
      <c r="M320" t="str">
        <f>CLEAN("124TH ST TO 106TH STREET           ")</f>
        <v xml:space="preserve">124TH ST TO 106TH STREET           </v>
      </c>
      <c r="N320">
        <v>1.1419999999999999</v>
      </c>
      <c r="O320" t="str">
        <f t="shared" si="114"/>
        <v xml:space="preserve">          </v>
      </c>
      <c r="P3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1" spans="1:16" x14ac:dyDescent="0.25">
      <c r="A321" t="str">
        <f t="shared" si="117"/>
        <v>10</v>
      </c>
      <c r="B321" t="str">
        <f t="shared" si="110"/>
        <v>22</v>
      </c>
      <c r="C321" s="1">
        <v>45426</v>
      </c>
      <c r="D321" t="str">
        <f>CLEAN("2235-00-74")</f>
        <v>2235-00-74</v>
      </c>
      <c r="E321" t="str">
        <f>CLEAN("205  ")</f>
        <v xml:space="preserve">205  </v>
      </c>
      <c r="F321" t="str">
        <f>CLEAN("$1,000,000 - $1,999,999  ")</f>
        <v xml:space="preserve">$1,000,000 - $1,999,999  </v>
      </c>
      <c r="G321" t="str">
        <f>CLEAN("LET")</f>
        <v>LET</v>
      </c>
      <c r="H321" t="str">
        <f>CLEAN("LET CONSTRUCTION         ")</f>
        <v xml:space="preserve">LET CONSTRUCTION         </v>
      </c>
      <c r="I321" t="str">
        <f>CLEAN("CONST/BRIDGE REPLACEMENT           ")</f>
        <v xml:space="preserve">CONST/BRIDGE REPLACEMENT           </v>
      </c>
      <c r="J321" t="str">
        <f>CLEAN("LOC STR")</f>
        <v>LOC STR</v>
      </c>
      <c r="K321" t="str">
        <f>CLEAN("MILWAUKEE                     ")</f>
        <v xml:space="preserve">MILWAUKEE                     </v>
      </c>
      <c r="L321" t="str">
        <f>CLEAN("C OAK CREEK, S 6TH STREET          ")</f>
        <v xml:space="preserve">C OAK CREEK, S 6TH STREET          </v>
      </c>
      <c r="M321" t="str">
        <f>CLEAN("BRIDGE OVER BR OAK CREEK P-40-0558 ")</f>
        <v xml:space="preserve">BRIDGE OVER BR OAK CREEK P-40-0558 </v>
      </c>
      <c r="N321">
        <v>0</v>
      </c>
      <c r="O321" t="str">
        <f t="shared" si="114"/>
        <v xml:space="preserve">          </v>
      </c>
      <c r="P32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22" spans="1:16" x14ac:dyDescent="0.25">
      <c r="A322" t="str">
        <f t="shared" si="117"/>
        <v>10</v>
      </c>
      <c r="B322" t="str">
        <f t="shared" si="110"/>
        <v>22</v>
      </c>
      <c r="C322" s="1">
        <v>45363</v>
      </c>
      <c r="D322" t="str">
        <f>CLEAN("2240-00-78")</f>
        <v>2240-00-78</v>
      </c>
      <c r="E322" t="str">
        <f t="shared" ref="E322:E331" si="118">CLEAN("303  ")</f>
        <v xml:space="preserve">303  </v>
      </c>
      <c r="F322" t="str">
        <f>CLEAN("$10,000,000 - $10,999,999")</f>
        <v>$10,000,000 - $10,999,999</v>
      </c>
      <c r="G322" t="str">
        <f>CLEAN("LET")</f>
        <v>LET</v>
      </c>
      <c r="H322" t="str">
        <f>CLEAN("LET CONSTRUCTION         ")</f>
        <v xml:space="preserve">LET CONSTRUCTION         </v>
      </c>
      <c r="I322" t="str">
        <f>CLEAN("CONST/RESURFACE                    ")</f>
        <v xml:space="preserve">CONST/RESURFACE                    </v>
      </c>
      <c r="J322" t="str">
        <f>CLEAN("STH 036")</f>
        <v>STH 036</v>
      </c>
      <c r="K322" t="str">
        <f>CLEAN("MILWAUKEE                     ")</f>
        <v xml:space="preserve">MILWAUKEE                     </v>
      </c>
      <c r="L322" t="str">
        <f>CLEAN("WATERFORD - MILWAUKEE              ")</f>
        <v xml:space="preserve">WATERFORD - MILWAUKEE              </v>
      </c>
      <c r="M322" t="str">
        <f>CLEAN("STH 100 TO 51ST STREET             ")</f>
        <v xml:space="preserve">STH 100 TO 51ST STREET             </v>
      </c>
      <c r="N322">
        <v>5.2389999999999999</v>
      </c>
      <c r="O322" t="str">
        <f t="shared" si="114"/>
        <v xml:space="preserve">          </v>
      </c>
      <c r="P322" t="str">
        <f t="shared" ref="P322:P327" si="119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3" spans="1:16" x14ac:dyDescent="0.25">
      <c r="A323" t="str">
        <f t="shared" si="117"/>
        <v>10</v>
      </c>
      <c r="B323" t="str">
        <f t="shared" si="110"/>
        <v>22</v>
      </c>
      <c r="C323" s="1">
        <v>45300</v>
      </c>
      <c r="D323" t="str">
        <f>CLEAN("2250-15-70")</f>
        <v>2250-15-70</v>
      </c>
      <c r="E323" t="str">
        <f t="shared" si="118"/>
        <v xml:space="preserve">303  </v>
      </c>
      <c r="F323" t="str">
        <f>CLEAN("$6,000,000 - $6,999,999  ")</f>
        <v xml:space="preserve">$6,000,000 - $6,999,999  </v>
      </c>
      <c r="G323" t="str">
        <f>CLEAN("LET")</f>
        <v>LET</v>
      </c>
      <c r="H323" t="str">
        <f>CLEAN("LET CONSTRUCTION         ")</f>
        <v xml:space="preserve">LET CONSTRUCTION         </v>
      </c>
      <c r="I323" t="str">
        <f>CLEAN("CONST/RESURFACE                    ")</f>
        <v xml:space="preserve">CONST/RESURFACE                    </v>
      </c>
      <c r="J323" t="str">
        <f>CLEAN("STH 020")</f>
        <v>STH 020</v>
      </c>
      <c r="K323" t="str">
        <f>CLEAN("RACINE                        ")</f>
        <v xml:space="preserve">RACINE                        </v>
      </c>
      <c r="L323" t="str">
        <f>CLEAN("WASHINGTON AVE - VIL OF MT PLEASANT")</f>
        <v>WASHINGTON AVE - VIL OF MT PLEASANT</v>
      </c>
      <c r="M323" t="str">
        <f>CLEAN("OAKES RD TO STH 31                 ")</f>
        <v xml:space="preserve">OAKES RD TO STH 31                 </v>
      </c>
      <c r="N323">
        <v>1.573</v>
      </c>
      <c r="O323" t="str">
        <f t="shared" si="114"/>
        <v xml:space="preserve">          </v>
      </c>
      <c r="P323" t="str">
        <f t="shared" si="119"/>
        <v xml:space="preserve">STATE 3R                                                                                            </v>
      </c>
    </row>
    <row r="324" spans="1:16" x14ac:dyDescent="0.25">
      <c r="A324" t="str">
        <f t="shared" si="117"/>
        <v>10</v>
      </c>
      <c r="B324" t="str">
        <f t="shared" si="110"/>
        <v>22</v>
      </c>
      <c r="C324" s="1">
        <v>45300</v>
      </c>
      <c r="D324" t="str">
        <f>CLEAN("2265-10-71")</f>
        <v>2265-10-71</v>
      </c>
      <c r="E324" t="str">
        <f t="shared" si="118"/>
        <v xml:space="preserve">303  </v>
      </c>
      <c r="F324" t="str">
        <f>CLEAN("$2,000,000 - $2,999,999  ")</f>
        <v xml:space="preserve">$2,000,000 - $2,999,999  </v>
      </c>
      <c r="G324" t="str">
        <f>CLEAN("LET")</f>
        <v>LET</v>
      </c>
      <c r="H324" t="str">
        <f>CLEAN("LET CONSTRUCTION         ")</f>
        <v xml:space="preserve">LET CONSTRUCTION         </v>
      </c>
      <c r="I324" t="str">
        <f>CLEAN("CONST/BRIDGE DECK REPLACEMENT      ")</f>
        <v xml:space="preserve">CONST/BRIDGE DECK REPLACEMENT      </v>
      </c>
      <c r="J324" t="str">
        <f>CLEAN("STH 241")</f>
        <v>STH 241</v>
      </c>
      <c r="K324" t="str">
        <f>CLEAN("MILWAUKEE                     ")</f>
        <v xml:space="preserve">MILWAUKEE                     </v>
      </c>
      <c r="L324" t="str">
        <f>CLEAN("OAK CREEK - MILWAUKEE              ")</f>
        <v xml:space="preserve">OAK CREEK - MILWAUKEE              </v>
      </c>
      <c r="M324" t="str">
        <f>CLEAN("8 MILE RD TO ELM RD, B40-954       ")</f>
        <v xml:space="preserve">8 MILE RD TO ELM RD, B40-954       </v>
      </c>
      <c r="N324">
        <v>0.44400000000000001</v>
      </c>
      <c r="O324" t="str">
        <f t="shared" si="114"/>
        <v xml:space="preserve">          </v>
      </c>
      <c r="P324" t="str">
        <f t="shared" si="119"/>
        <v xml:space="preserve">STATE 3R                                                                                            </v>
      </c>
    </row>
    <row r="325" spans="1:16" x14ac:dyDescent="0.25">
      <c r="A325" t="str">
        <f t="shared" si="117"/>
        <v>10</v>
      </c>
      <c r="B325" t="str">
        <f t="shared" si="110"/>
        <v>22</v>
      </c>
      <c r="C325" s="1">
        <v>45498</v>
      </c>
      <c r="D325" t="str">
        <f>CLEAN("2265-11-22")</f>
        <v>2265-11-22</v>
      </c>
      <c r="E325" t="str">
        <f t="shared" si="118"/>
        <v xml:space="preserve">303  </v>
      </c>
      <c r="F325" t="str">
        <f>CLEAN("$0 - $99,999             ")</f>
        <v xml:space="preserve">$0 - $99,999             </v>
      </c>
      <c r="G325" t="str">
        <f>CLEAN("R/E")</f>
        <v>R/E</v>
      </c>
      <c r="H325" t="str">
        <f>CLEAN("NONLET CONSTR/REAL ESTATE")</f>
        <v>NONLET CONSTR/REAL ESTATE</v>
      </c>
      <c r="I325" t="str">
        <f>CLEAN("RE/RSRF25                          ")</f>
        <v xml:space="preserve">RE/RSRF25                          </v>
      </c>
      <c r="J325" t="str">
        <f>CLEAN("STH 241")</f>
        <v>STH 241</v>
      </c>
      <c r="K325" t="str">
        <f>CLEAN("MILWAUKEE                     ")</f>
        <v xml:space="preserve">MILWAUKEE                     </v>
      </c>
      <c r="L325" t="str">
        <f>CLEAN("C GREENFIELD/MILWAUKEE, S 27TH ST  ")</f>
        <v xml:space="preserve">C GREENFIELD/MILWAUKEE, S 27TH ST  </v>
      </c>
      <c r="M325" t="str">
        <f>CLEAN("W BOTTSFORD AVE TO W HOWARD AVE    ")</f>
        <v xml:space="preserve">W BOTTSFORD AVE TO W HOWARD AVE    </v>
      </c>
      <c r="N325">
        <v>0.64</v>
      </c>
      <c r="O325" t="str">
        <f t="shared" si="114"/>
        <v xml:space="preserve">          </v>
      </c>
      <c r="P325" t="str">
        <f t="shared" si="119"/>
        <v xml:space="preserve">STATE 3R                                                                                            </v>
      </c>
    </row>
    <row r="326" spans="1:16" x14ac:dyDescent="0.25">
      <c r="A326" t="str">
        <f t="shared" si="117"/>
        <v>10</v>
      </c>
      <c r="B326" t="str">
        <f t="shared" ref="B326:B357" si="120">CLEAN("22")</f>
        <v>22</v>
      </c>
      <c r="C326" s="1">
        <v>45316</v>
      </c>
      <c r="D326" t="str">
        <f>CLEAN("2270-06-20")</f>
        <v>2270-06-20</v>
      </c>
      <c r="E326" t="str">
        <f t="shared" si="118"/>
        <v xml:space="preserve">303  </v>
      </c>
      <c r="F326" t="str">
        <f>CLEAN("$0 - $99,999             ")</f>
        <v xml:space="preserve">$0 - $99,999             </v>
      </c>
      <c r="G326" t="str">
        <f>CLEAN("R/E")</f>
        <v>R/E</v>
      </c>
      <c r="H326" t="str">
        <f>CLEAN("NONLET CONSTR/REAL ESTATE")</f>
        <v>NONLET CONSTR/REAL ESTATE</v>
      </c>
      <c r="I326" t="str">
        <f>CLEAN("RE/RSRF25                          ")</f>
        <v xml:space="preserve">RE/RSRF25                          </v>
      </c>
      <c r="J326" t="str">
        <f>CLEAN("STH 057")</f>
        <v>STH 057</v>
      </c>
      <c r="K326" t="str">
        <f>CLEAN("OZAUKEE                       ")</f>
        <v xml:space="preserve">OZAUKEE                       </v>
      </c>
      <c r="L326" t="str">
        <f>CLEAN("C MEQUON, W MEQUON ROAD            ")</f>
        <v xml:space="preserve">C MEQUON, W MEQUON ROAD            </v>
      </c>
      <c r="M326" t="str">
        <f>CLEAN("STH 167 TO CTH W                   ")</f>
        <v xml:space="preserve">STH 167 TO CTH W                   </v>
      </c>
      <c r="N326">
        <v>2.95</v>
      </c>
      <c r="O326" t="str">
        <f t="shared" si="114"/>
        <v xml:space="preserve">          </v>
      </c>
      <c r="P326" t="str">
        <f t="shared" si="119"/>
        <v xml:space="preserve">STATE 3R                                                                                            </v>
      </c>
    </row>
    <row r="327" spans="1:16" x14ac:dyDescent="0.25">
      <c r="A327" t="str">
        <f t="shared" si="117"/>
        <v>10</v>
      </c>
      <c r="B327" t="str">
        <f t="shared" si="120"/>
        <v>22</v>
      </c>
      <c r="C327" s="1">
        <v>45272</v>
      </c>
      <c r="D327" t="str">
        <f>CLEAN("2290-03-73")</f>
        <v>2290-03-73</v>
      </c>
      <c r="E327" t="str">
        <f t="shared" si="118"/>
        <v xml:space="preserve">303  </v>
      </c>
      <c r="F327" t="str">
        <f>CLEAN("$7,000,000 - $7,999,999  ")</f>
        <v xml:space="preserve">$7,000,000 - $7,999,999  </v>
      </c>
      <c r="G327" t="str">
        <f>CLEAN("LET")</f>
        <v>LET</v>
      </c>
      <c r="H327" t="str">
        <f>CLEAN("LET CONSTRUCTION         ")</f>
        <v xml:space="preserve">LET CONSTRUCTION         </v>
      </c>
      <c r="I327" t="str">
        <f>CLEAN("CONST/BRIDGE REPLACEMENT           ")</f>
        <v xml:space="preserve">CONST/BRIDGE REPLACEMENT           </v>
      </c>
      <c r="J327" t="str">
        <f>CLEAN("STH 038")</f>
        <v>STH 038</v>
      </c>
      <c r="K327" t="str">
        <f>CLEAN("RACINE                        ")</f>
        <v xml:space="preserve">RACINE                        </v>
      </c>
      <c r="L327" t="str">
        <f>CLEAN("RACINE - MILWAUKEE                 ")</f>
        <v xml:space="preserve">RACINE - MILWAUKEE                 </v>
      </c>
      <c r="M327" t="str">
        <f>CLEAN("BRIDGE OVER ROOT RIVER B-51-0012   ")</f>
        <v xml:space="preserve">BRIDGE OVER ROOT RIVER B-51-0012   </v>
      </c>
      <c r="N327">
        <v>0.25800000000000001</v>
      </c>
      <c r="O327" t="str">
        <f t="shared" si="114"/>
        <v xml:space="preserve">          </v>
      </c>
      <c r="P327" t="str">
        <f t="shared" si="119"/>
        <v xml:space="preserve">STATE 3R                                                                                            </v>
      </c>
    </row>
    <row r="328" spans="1:16" x14ac:dyDescent="0.25">
      <c r="A328" t="str">
        <f t="shared" si="117"/>
        <v>10</v>
      </c>
      <c r="B328" t="str">
        <f t="shared" si="120"/>
        <v>22</v>
      </c>
      <c r="C328" s="1">
        <v>45347</v>
      </c>
      <c r="D328" t="str">
        <f>CLEAN("2290-25-20")</f>
        <v>2290-25-20</v>
      </c>
      <c r="E328" t="str">
        <f t="shared" si="118"/>
        <v xml:space="preserve">303  </v>
      </c>
      <c r="F328" t="str">
        <f>CLEAN("$0 - $99,999             ")</f>
        <v xml:space="preserve">$0 - $99,999             </v>
      </c>
      <c r="G328" t="str">
        <f>CLEAN("R/E")</f>
        <v>R/E</v>
      </c>
      <c r="H328" t="str">
        <f>CLEAN("NONLET CONSTR/REAL ESTATE")</f>
        <v>NONLET CONSTR/REAL ESTATE</v>
      </c>
      <c r="I328" t="str">
        <f>CLEAN("RE FULL PS &amp; E W/ROW RECST         ")</f>
        <v xml:space="preserve">RE FULL PS &amp; E W/ROW RECST         </v>
      </c>
      <c r="J328" t="str">
        <f>CLEAN("STH 038")</f>
        <v>STH 038</v>
      </c>
      <c r="K328" t="str">
        <f>CLEAN("RACINE                        ")</f>
        <v xml:space="preserve">RACINE                        </v>
      </c>
      <c r="L328" t="str">
        <f>CLEAN("V CALEDONIA, NORTHWESTERN AVENUE   ")</f>
        <v xml:space="preserve">V CALEDONIA, NORTHWESTERN AVENUE   </v>
      </c>
      <c r="M328" t="str">
        <f>CLEAN("INTERSECTION WITH 4 MILE ROAD      ")</f>
        <v xml:space="preserve">INTERSECTION WITH 4 MILE ROAD      </v>
      </c>
      <c r="N328">
        <v>3.7999999999999999E-2</v>
      </c>
      <c r="O328" t="str">
        <f t="shared" si="114"/>
        <v xml:space="preserve">          </v>
      </c>
      <c r="P32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29" spans="1:16" x14ac:dyDescent="0.25">
      <c r="A329" t="str">
        <f t="shared" si="117"/>
        <v>10</v>
      </c>
      <c r="B329" t="str">
        <f t="shared" si="120"/>
        <v>22</v>
      </c>
      <c r="C329" s="1">
        <v>45347</v>
      </c>
      <c r="D329" t="str">
        <f>CLEAN("2290-26-20")</f>
        <v>2290-26-20</v>
      </c>
      <c r="E329" t="str">
        <f t="shared" si="118"/>
        <v xml:space="preserve">303  </v>
      </c>
      <c r="F329" t="str">
        <f>CLEAN("$0 - $99,999             ")</f>
        <v xml:space="preserve">$0 - $99,999             </v>
      </c>
      <c r="G329" t="str">
        <f>CLEAN("R/E")</f>
        <v>R/E</v>
      </c>
      <c r="H329" t="str">
        <f>CLEAN("NONLET CONSTR/REAL ESTATE")</f>
        <v>NONLET CONSTR/REAL ESTATE</v>
      </c>
      <c r="I329" t="str">
        <f>CLEAN("RE/RECST                           ")</f>
        <v xml:space="preserve">RE/RECST                           </v>
      </c>
      <c r="J329" t="str">
        <f>CLEAN("STH 038")</f>
        <v>STH 038</v>
      </c>
      <c r="K329" t="str">
        <f>CLEAN("RACINE                        ")</f>
        <v xml:space="preserve">RACINE                        </v>
      </c>
      <c r="L329" t="str">
        <f>CLEAN("V CALEDONIA, NORTHWESTERN AVENUE   ")</f>
        <v xml:space="preserve">V CALEDONIA, NORTHWESTERN AVENUE   </v>
      </c>
      <c r="M329" t="str">
        <f>CLEAN("INTERSECTION WITH 5 MILE ROAD      ")</f>
        <v xml:space="preserve">INTERSECTION WITH 5 MILE ROAD      </v>
      </c>
      <c r="N329">
        <v>7.0000000000000001E-3</v>
      </c>
      <c r="O329" t="str">
        <f t="shared" si="114"/>
        <v xml:space="preserve">          </v>
      </c>
      <c r="P32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0" spans="1:16" x14ac:dyDescent="0.25">
      <c r="A330" t="str">
        <f t="shared" si="117"/>
        <v>10</v>
      </c>
      <c r="B330" t="str">
        <f t="shared" si="120"/>
        <v>22</v>
      </c>
      <c r="C330" s="1">
        <v>45391</v>
      </c>
      <c r="D330" t="str">
        <f>CLEAN("2300-06-70")</f>
        <v>2300-06-70</v>
      </c>
      <c r="E330" t="str">
        <f t="shared" si="118"/>
        <v xml:space="preserve">303  </v>
      </c>
      <c r="F330" t="str">
        <f>CLEAN("$1,000,000 - $1,999,999  ")</f>
        <v xml:space="preserve">$1,000,000 - $1,999,999  </v>
      </c>
      <c r="G330" t="str">
        <f>CLEAN("LET")</f>
        <v>LET</v>
      </c>
      <c r="H330" t="str">
        <f>CLEAN("LET CONSTRUCTION         ")</f>
        <v xml:space="preserve">LET CONSTRUCTION         </v>
      </c>
      <c r="I330" t="str">
        <f>CLEAN("CONST/RESURFACE                    ")</f>
        <v xml:space="preserve">CONST/RESURFACE                    </v>
      </c>
      <c r="J330" t="str">
        <f>CLEAN("STH 167")</f>
        <v>STH 167</v>
      </c>
      <c r="K330" t="str">
        <f>CLEAN("WASHINGTON                    ")</f>
        <v xml:space="preserve">WASHINGTON                    </v>
      </c>
      <c r="L330" t="str">
        <f>CLEAN("WAUKESHA - SLINGER                 ")</f>
        <v xml:space="preserve">WAUKESHA - SLINGER                 </v>
      </c>
      <c r="M330" t="str">
        <f>CLEAN("CTH K TO CTH CC                    ")</f>
        <v xml:space="preserve">CTH K TO CTH CC                    </v>
      </c>
      <c r="N330">
        <v>1.27</v>
      </c>
      <c r="O330" t="str">
        <f t="shared" si="114"/>
        <v xml:space="preserve">          </v>
      </c>
      <c r="P33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1" spans="1:16" x14ac:dyDescent="0.25">
      <c r="A331" t="str">
        <f t="shared" si="117"/>
        <v>10</v>
      </c>
      <c r="B331" t="str">
        <f t="shared" si="120"/>
        <v>22</v>
      </c>
      <c r="C331" s="1">
        <v>45391</v>
      </c>
      <c r="D331" t="str">
        <f>CLEAN("2300-06-70")</f>
        <v>2300-06-70</v>
      </c>
      <c r="E331" t="str">
        <f t="shared" si="118"/>
        <v xml:space="preserve">303  </v>
      </c>
      <c r="F331" t="str">
        <f>CLEAN("$1,000,000 - $1,999,999  ")</f>
        <v xml:space="preserve">$1,000,000 - $1,999,999  </v>
      </c>
      <c r="G331" t="str">
        <f>CLEAN("LET")</f>
        <v>LET</v>
      </c>
      <c r="H331" t="str">
        <f>CLEAN("LET CONSTRUCTION         ")</f>
        <v xml:space="preserve">LET CONSTRUCTION         </v>
      </c>
      <c r="I331" t="str">
        <f>CLEAN("CONST/RESURFACE                    ")</f>
        <v xml:space="preserve">CONST/RESURFACE                    </v>
      </c>
      <c r="J331" t="str">
        <f>CLEAN("STH 167")</f>
        <v>STH 167</v>
      </c>
      <c r="K331" t="str">
        <f>CLEAN("WASHINGTON                    ")</f>
        <v xml:space="preserve">WASHINGTON                    </v>
      </c>
      <c r="L331" t="str">
        <f>CLEAN("WAUKESHA - SLINGER                 ")</f>
        <v xml:space="preserve">WAUKESHA - SLINGER                 </v>
      </c>
      <c r="M331" t="str">
        <f>CLEAN("CTH K TO CTH CC                    ")</f>
        <v xml:space="preserve">CTH K TO CTH CC                    </v>
      </c>
      <c r="N331">
        <v>1.27</v>
      </c>
      <c r="O331" t="str">
        <f t="shared" si="114"/>
        <v xml:space="preserve">          </v>
      </c>
      <c r="P3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2" spans="1:16" x14ac:dyDescent="0.25">
      <c r="A332" t="str">
        <f t="shared" si="117"/>
        <v>10</v>
      </c>
      <c r="B332" t="str">
        <f t="shared" si="120"/>
        <v>22</v>
      </c>
      <c r="C332" s="1">
        <v>45363</v>
      </c>
      <c r="D332" t="str">
        <f>CLEAN("2305-02-70")</f>
        <v>2305-02-70</v>
      </c>
      <c r="E332" t="str">
        <f>CLEAN("206  ")</f>
        <v xml:space="preserve">206  </v>
      </c>
      <c r="F332" t="str">
        <f>CLEAN("$100,000-$249,999        ")</f>
        <v xml:space="preserve">$100,000-$249,999        </v>
      </c>
      <c r="G332" t="str">
        <f>CLEAN("LET")</f>
        <v>LET</v>
      </c>
      <c r="H332" t="str">
        <f>CLEAN("LET CONSTRUCTION         ")</f>
        <v xml:space="preserve">LET CONSTRUCTION         </v>
      </c>
      <c r="I332" t="str">
        <f>CLEAN("CONST/FULL PS/MISC                 ")</f>
        <v xml:space="preserve">CONST/FULL PS/MISC                 </v>
      </c>
      <c r="J332" t="str">
        <f>CLEAN("CTH OO ")</f>
        <v xml:space="preserve">CTH OO </v>
      </c>
      <c r="K332" t="str">
        <f>CLEAN("MILWAUKEE                     ")</f>
        <v xml:space="preserve">MILWAUKEE                     </v>
      </c>
      <c r="L332" t="str">
        <f>CLEAN("C FRANKLIN FOREST HOME AVENUE      ")</f>
        <v xml:space="preserve">C FRANKLIN FOREST HOME AVENUE      </v>
      </c>
      <c r="M332" t="str">
        <f>CLEAN("INTERSECT WITH SPEEDWAY            ")</f>
        <v xml:space="preserve">INTERSECT WITH SPEEDWAY            </v>
      </c>
      <c r="N332">
        <v>0</v>
      </c>
      <c r="O332" t="str">
        <f>CLEAN("2050-12-70")</f>
        <v>2050-12-70</v>
      </c>
      <c r="P33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3" spans="1:16" x14ac:dyDescent="0.25">
      <c r="A333" t="str">
        <f t="shared" si="117"/>
        <v>10</v>
      </c>
      <c r="B333" t="str">
        <f t="shared" si="120"/>
        <v>22</v>
      </c>
      <c r="C333" s="1">
        <v>45300</v>
      </c>
      <c r="D333" t="str">
        <f>CLEAN("2310-13-70")</f>
        <v>2310-13-70</v>
      </c>
      <c r="E333" t="str">
        <f>CLEAN("303  ")</f>
        <v xml:space="preserve">303  </v>
      </c>
      <c r="F333" t="str">
        <f>CLEAN("$3,000,000 - $3,999,999  ")</f>
        <v xml:space="preserve">$3,000,000 - $3,999,999  </v>
      </c>
      <c r="G333" t="str">
        <f>CLEAN("LET")</f>
        <v>LET</v>
      </c>
      <c r="H333" t="str">
        <f>CLEAN("LET CONSTRUCTION         ")</f>
        <v xml:space="preserve">LET CONSTRUCTION         </v>
      </c>
      <c r="I333" t="str">
        <f>CLEAN("CONST/RESURFACE                    ")</f>
        <v xml:space="preserve">CONST/RESURFACE                    </v>
      </c>
      <c r="J333" t="str">
        <f>CLEAN("STH 060")</f>
        <v>STH 060</v>
      </c>
      <c r="K333" t="str">
        <f>CLEAN("WASHINGTON                    ")</f>
        <v xml:space="preserve">WASHINGTON                    </v>
      </c>
      <c r="L333" t="str">
        <f>CLEAN("MAIN ST, VILLAGE JACKSON           ")</f>
        <v xml:space="preserve">MAIN ST, VILLAGE JACKSON           </v>
      </c>
      <c r="M333" t="str">
        <f>CLEAN("CTH P TO EAGLE DR                  ")</f>
        <v xml:space="preserve">CTH P TO EAGLE DR                  </v>
      </c>
      <c r="N333">
        <v>1.7330000000000001</v>
      </c>
      <c r="O333" t="str">
        <f>CLEAN("2310-13-71")</f>
        <v>2310-13-71</v>
      </c>
      <c r="P3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4" spans="1:16" x14ac:dyDescent="0.25">
      <c r="A334" t="str">
        <f t="shared" si="117"/>
        <v>10</v>
      </c>
      <c r="B334" t="str">
        <f t="shared" si="120"/>
        <v>22</v>
      </c>
      <c r="C334" s="1">
        <v>45300</v>
      </c>
      <c r="D334" t="str">
        <f>CLEAN("2310-13-71")</f>
        <v>2310-13-71</v>
      </c>
      <c r="E334" t="str">
        <f>CLEAN("206  ")</f>
        <v xml:space="preserve">206  </v>
      </c>
      <c r="F334" t="str">
        <f>CLEAN("$1,000,000 - $1,999,999  ")</f>
        <v xml:space="preserve">$1,000,000 - $1,999,999  </v>
      </c>
      <c r="G334" t="str">
        <f>CLEAN("LET")</f>
        <v>LET</v>
      </c>
      <c r="H334" t="str">
        <f>CLEAN("LET CONSTRUCTION         ")</f>
        <v xml:space="preserve">LET CONSTRUCTION         </v>
      </c>
      <c r="I334" t="str">
        <f>CLEAN("CONST/ROUNDABOUT                   ")</f>
        <v xml:space="preserve">CONST/ROUNDABOUT                   </v>
      </c>
      <c r="J334" t="str">
        <f>CLEAN("LOC STR")</f>
        <v>LOC STR</v>
      </c>
      <c r="K334" t="str">
        <f>CLEAN("WASHINGTON                    ")</f>
        <v xml:space="preserve">WASHINGTON                    </v>
      </c>
      <c r="L334" t="str">
        <f>CLEAN("V JACKSON, EAGLE DR                ")</f>
        <v xml:space="preserve">V JACKSON, EAGLE DR                </v>
      </c>
      <c r="M334" t="str">
        <f>CLEAN("INTERSECTION WITH STH 60           ")</f>
        <v xml:space="preserve">INTERSECTION WITH STH 60           </v>
      </c>
      <c r="N334">
        <v>7.3999999999999996E-2</v>
      </c>
      <c r="O334" t="str">
        <f>CLEAN("2310-13-70")</f>
        <v>2310-13-70</v>
      </c>
      <c r="P334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35" spans="1:16" x14ac:dyDescent="0.25">
      <c r="A335" t="str">
        <f t="shared" si="117"/>
        <v>10</v>
      </c>
      <c r="B335" t="str">
        <f t="shared" si="120"/>
        <v>22</v>
      </c>
      <c r="C335" s="1">
        <v>45498</v>
      </c>
      <c r="D335" t="str">
        <f>CLEAN("2310-25-20")</f>
        <v>2310-25-20</v>
      </c>
      <c r="E335" t="str">
        <f>CLEAN("303  ")</f>
        <v xml:space="preserve">303  </v>
      </c>
      <c r="F335" t="str">
        <f>CLEAN("$0 - $99,999             ")</f>
        <v xml:space="preserve">$0 - $99,999             </v>
      </c>
      <c r="G335" t="str">
        <f>CLEAN("R/E")</f>
        <v>R/E</v>
      </c>
      <c r="H335" t="str">
        <f>CLEAN("NONLET CONSTR/REAL ESTATE")</f>
        <v>NONLET CONSTR/REAL ESTATE</v>
      </c>
      <c r="I335" t="str">
        <f>CLEAN("RE/RSRF25                          ")</f>
        <v xml:space="preserve">RE/RSRF25                          </v>
      </c>
      <c r="J335" t="str">
        <f>CLEAN("STH 060")</f>
        <v>STH 060</v>
      </c>
      <c r="K335" t="str">
        <f>CLEAN("WASHINGTON                    ")</f>
        <v xml:space="preserve">WASHINGTON                    </v>
      </c>
      <c r="L335" t="str">
        <f>CLEAN("HARTFORD TO JACKSON                ")</f>
        <v xml:space="preserve">HARTFORD TO JACKSON                </v>
      </c>
      <c r="M335" t="str">
        <f>CLEAN("WAYSIDE DR TO 1300' E OF IH 41 I/C ")</f>
        <v xml:space="preserve">WAYSIDE DR TO 1300' E OF IH 41 I/C </v>
      </c>
      <c r="N335">
        <v>4.4610000000000003</v>
      </c>
      <c r="O335" t="str">
        <f t="shared" ref="O335:O362" si="121">CLEAN("          ")</f>
        <v xml:space="preserve">          </v>
      </c>
      <c r="P3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6" spans="1:16" x14ac:dyDescent="0.25">
      <c r="A336" t="str">
        <f t="shared" si="117"/>
        <v>10</v>
      </c>
      <c r="B336" t="str">
        <f t="shared" si="120"/>
        <v>22</v>
      </c>
      <c r="C336" s="1">
        <v>45498</v>
      </c>
      <c r="D336" t="str">
        <f>CLEAN("2310-25-21")</f>
        <v>2310-25-21</v>
      </c>
      <c r="E336" t="str">
        <f>CLEAN("303  ")</f>
        <v xml:space="preserve">303  </v>
      </c>
      <c r="F336" t="str">
        <f>CLEAN("$0 - $99,999             ")</f>
        <v xml:space="preserve">$0 - $99,999             </v>
      </c>
      <c r="G336" t="str">
        <f>CLEAN("R/E")</f>
        <v>R/E</v>
      </c>
      <c r="H336" t="str">
        <f>CLEAN("NONLET CONSTR/REAL ESTATE")</f>
        <v>NONLET CONSTR/REAL ESTATE</v>
      </c>
      <c r="I336" t="str">
        <f>CLEAN("RE/RSRF25                          ")</f>
        <v xml:space="preserve">RE/RSRF25                          </v>
      </c>
      <c r="J336" t="str">
        <f>CLEAN("STH 060")</f>
        <v>STH 060</v>
      </c>
      <c r="K336" t="str">
        <f>CLEAN("WASHINGTON                    ")</f>
        <v xml:space="preserve">WASHINGTON                    </v>
      </c>
      <c r="L336" t="str">
        <f>CLEAN("HARTFORD TO JACKSON                ")</f>
        <v xml:space="preserve">HARTFORD TO JACKSON                </v>
      </c>
      <c r="M336" t="str">
        <f>CLEAN("WAYSIDE DR TO 1300' E OF IH 41 I/C ")</f>
        <v xml:space="preserve">WAYSIDE DR TO 1300' E OF IH 41 I/C </v>
      </c>
      <c r="N336">
        <v>4.7279999999999998</v>
      </c>
      <c r="O336" t="str">
        <f t="shared" si="121"/>
        <v xml:space="preserve">          </v>
      </c>
      <c r="P3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7" spans="1:16" x14ac:dyDescent="0.25">
      <c r="A337" t="str">
        <f t="shared" si="117"/>
        <v>10</v>
      </c>
      <c r="B337" t="str">
        <f t="shared" si="120"/>
        <v>22</v>
      </c>
      <c r="C337" s="1">
        <v>45300</v>
      </c>
      <c r="D337" t="str">
        <f>CLEAN("2340-03-73")</f>
        <v>2340-03-73</v>
      </c>
      <c r="E337" t="str">
        <f>CLEAN("303  ")</f>
        <v xml:space="preserve">303  </v>
      </c>
      <c r="F337" t="str">
        <f>CLEAN("$3,000,000 - $3,999,999  ")</f>
        <v xml:space="preserve">$3,000,000 - $3,999,999  </v>
      </c>
      <c r="G337" t="str">
        <f>CLEAN("LET")</f>
        <v>LET</v>
      </c>
      <c r="H337" t="str">
        <f>CLEAN("LET CONSTRUCTION         ")</f>
        <v xml:space="preserve">LET CONSTRUCTION         </v>
      </c>
      <c r="I337" t="str">
        <f>CLEAN("CONST/BRIDGE REHAB                 ")</f>
        <v xml:space="preserve">CONST/BRIDGE REHAB                 </v>
      </c>
      <c r="J337" t="str">
        <f>CLEAN("STH 020")</f>
        <v>STH 020</v>
      </c>
      <c r="K337" t="str">
        <f>CLEAN("RACINE                        ")</f>
        <v xml:space="preserve">RACINE                        </v>
      </c>
      <c r="L337" t="str">
        <f>CLEAN("WASHINGTON AVENUE                  ")</f>
        <v xml:space="preserve">WASHINGTON AVENUE                  </v>
      </c>
      <c r="M337" t="str">
        <f>CLEAN("90TH STREET TO OAKES ROAD          ")</f>
        <v xml:space="preserve">90TH STREET TO OAKES ROAD          </v>
      </c>
      <c r="N337">
        <v>0.96599999999999997</v>
      </c>
      <c r="O337" t="str">
        <f t="shared" si="121"/>
        <v xml:space="preserve">          </v>
      </c>
      <c r="P3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8" spans="1:16" x14ac:dyDescent="0.25">
      <c r="A338" t="str">
        <f t="shared" si="117"/>
        <v>10</v>
      </c>
      <c r="B338" t="str">
        <f t="shared" si="120"/>
        <v>22</v>
      </c>
      <c r="C338" s="1">
        <v>45300</v>
      </c>
      <c r="D338" t="str">
        <f>CLEAN("2365-05-71")</f>
        <v>2365-05-71</v>
      </c>
      <c r="E338" t="str">
        <f>CLEAN("206  ")</f>
        <v xml:space="preserve">206  </v>
      </c>
      <c r="F338" t="str">
        <f>CLEAN("$1,000,000 - $1,999,999  ")</f>
        <v xml:space="preserve">$1,000,000 - $1,999,999  </v>
      </c>
      <c r="G338" t="str">
        <f>CLEAN("LET")</f>
        <v>LET</v>
      </c>
      <c r="H338" t="str">
        <f>CLEAN("LET CONSTRUCTION         ")</f>
        <v xml:space="preserve">LET CONSTRUCTION         </v>
      </c>
      <c r="I338" t="str">
        <f>CLEAN("CONST/RECONDITION                  ")</f>
        <v xml:space="preserve">CONST/RECONDITION                  </v>
      </c>
      <c r="J338" t="str">
        <f>CLEAN("LOC STR")</f>
        <v>LOC STR</v>
      </c>
      <c r="K338" t="str">
        <f>CLEAN("MILWAUKEE                     ")</f>
        <v xml:space="preserve">MILWAUKEE                     </v>
      </c>
      <c r="L338" t="str">
        <f>CLEAN("V GREENDALE W GRANGE AVENUE        ")</f>
        <v xml:space="preserve">V GREENDALE W GRANGE AVENUE        </v>
      </c>
      <c r="M338" t="str">
        <f>CLEAN("S 76TH STREET TO S 84TH STREET     ")</f>
        <v xml:space="preserve">S 76TH STREET TO S 84TH STREET     </v>
      </c>
      <c r="N338">
        <v>0.498</v>
      </c>
      <c r="O338" t="str">
        <f t="shared" si="121"/>
        <v xml:space="preserve">          </v>
      </c>
      <c r="P33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39" spans="1:16" x14ac:dyDescent="0.25">
      <c r="A339" t="str">
        <f t="shared" si="117"/>
        <v>10</v>
      </c>
      <c r="B339" t="str">
        <f t="shared" si="120"/>
        <v>22</v>
      </c>
      <c r="C339" s="1">
        <v>45590</v>
      </c>
      <c r="D339" t="str">
        <f>CLEAN("2390-08-50")</f>
        <v>2390-08-50</v>
      </c>
      <c r="E339" t="str">
        <f>CLEAN("303  ")</f>
        <v xml:space="preserve">303  </v>
      </c>
      <c r="F339" t="str">
        <f>CLEAN("$250,000 - $499,999      ")</f>
        <v xml:space="preserve">$250,000 - $499,999      </v>
      </c>
      <c r="G339" t="str">
        <f>CLEAN("R/R")</f>
        <v>R/R</v>
      </c>
      <c r="H339" t="str">
        <f>CLEAN("NONLET CONSTR/REAL ESTATE")</f>
        <v>NONLET CONSTR/REAL ESTATE</v>
      </c>
      <c r="I339" t="str">
        <f>CLEAN("RR/UPRR/XING SIGNALS/DOT 176830R   ")</f>
        <v xml:space="preserve">RR/UPRR/XING SIGNALS/DOT 176830R   </v>
      </c>
      <c r="J339" t="str">
        <f>CLEAN("STH 031")</f>
        <v>STH 031</v>
      </c>
      <c r="K339" t="str">
        <f>CLEAN("KENOSHA                       ")</f>
        <v xml:space="preserve">KENOSHA                       </v>
      </c>
      <c r="L339" t="str">
        <f>CLEAN("PLEASANT PRAIRIE - CALEDONIA       ")</f>
        <v xml:space="preserve">PLEASANT PRAIRIE - CALEDONIA       </v>
      </c>
      <c r="M339" t="str">
        <f>CLEAN("IL STATE LINE TO STH 50            ")</f>
        <v xml:space="preserve">IL STATE LINE TO STH 50            </v>
      </c>
      <c r="N339">
        <v>0</v>
      </c>
      <c r="O339" t="str">
        <f t="shared" si="121"/>
        <v xml:space="preserve">          </v>
      </c>
      <c r="P3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0" spans="1:16" x14ac:dyDescent="0.25">
      <c r="A340" t="str">
        <f t="shared" si="117"/>
        <v>10</v>
      </c>
      <c r="B340" t="str">
        <f t="shared" si="120"/>
        <v>22</v>
      </c>
      <c r="C340" s="1">
        <v>45335</v>
      </c>
      <c r="D340" t="str">
        <f>CLEAN("2395-05-71")</f>
        <v>2395-05-71</v>
      </c>
      <c r="E340" t="str">
        <f>CLEAN("206  ")</f>
        <v xml:space="preserve">206  </v>
      </c>
      <c r="F340" t="str">
        <f>CLEAN("$12,000,000 - $12,999,999")</f>
        <v>$12,000,000 - $12,999,999</v>
      </c>
      <c r="G340" t="str">
        <f>CLEAN("LET")</f>
        <v>LET</v>
      </c>
      <c r="H340" t="str">
        <f>CLEAN("LET CONSTRUCTION         ")</f>
        <v xml:space="preserve">LET CONSTRUCTION         </v>
      </c>
      <c r="I340" t="str">
        <f>CLEAN("CONST/RECONSTRUCT W/ NO ADDL LANES ")</f>
        <v xml:space="preserve">CONST/RECONSTRUCT W/ NO ADDL LANES </v>
      </c>
      <c r="J340" t="str">
        <f>CLEAN("LOC STR")</f>
        <v>LOC STR</v>
      </c>
      <c r="K340" t="str">
        <f>CLEAN("MILWAUKEE                     ")</f>
        <v xml:space="preserve">MILWAUKEE                     </v>
      </c>
      <c r="L340" t="str">
        <f>CLEAN("C MILWAUKEE E/W HOWARD AVENUE      ")</f>
        <v xml:space="preserve">C MILWAUKEE E/W HOWARD AVENUE      </v>
      </c>
      <c r="M340" t="str">
        <f>CLEAN("S 6TH STREET TO S CLEMENT AVENUE   ")</f>
        <v xml:space="preserve">S 6TH STREET TO S CLEMENT AVENUE   </v>
      </c>
      <c r="N340">
        <v>1.2</v>
      </c>
      <c r="O340" t="str">
        <f t="shared" si="121"/>
        <v xml:space="preserve">          </v>
      </c>
      <c r="P34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41" spans="1:16" x14ac:dyDescent="0.25">
      <c r="A341" t="str">
        <f t="shared" si="117"/>
        <v>10</v>
      </c>
      <c r="B341" t="str">
        <f t="shared" si="120"/>
        <v>22</v>
      </c>
      <c r="C341" s="1">
        <v>45376</v>
      </c>
      <c r="D341" t="str">
        <f>CLEAN("2400-07-71")</f>
        <v>2400-07-71</v>
      </c>
      <c r="E341" t="str">
        <f>CLEAN("290  ")</f>
        <v xml:space="preserve">290  </v>
      </c>
      <c r="F341" t="str">
        <f>CLEAN("$500,000 - $749,999      ")</f>
        <v xml:space="preserve">$500,000 - $749,999      </v>
      </c>
      <c r="G341" t="str">
        <f>CLEAN("LLC")</f>
        <v>LLC</v>
      </c>
      <c r="H341" t="str">
        <f>CLEAN("NONLET CONSTR/REAL ESTATE")</f>
        <v>NONLET CONSTR/REAL ESTATE</v>
      </c>
      <c r="I341" t="str">
        <f>CLEAN("CONST/PEDESTRIAN IMPROVEMENTS      ")</f>
        <v xml:space="preserve">CONST/PEDESTRIAN IMPROVEMENTS      </v>
      </c>
      <c r="J341" t="str">
        <f>CLEAN("LOC STR")</f>
        <v>LOC STR</v>
      </c>
      <c r="K341" t="str">
        <f>CLEAN("MILWAUKEE                     ")</f>
        <v xml:space="preserve">MILWAUKEE                     </v>
      </c>
      <c r="L341" t="str">
        <f>CLEAN("OKLAHOMA AVENUE MULTIMODAL         ")</f>
        <v xml:space="preserve">OKLAHOMA AVENUE MULTIMODAL         </v>
      </c>
      <c r="M341" t="str">
        <f>CLEAN("S 27TH ST TO S 6TH ST              ")</f>
        <v xml:space="preserve">S 27TH ST TO S 6TH ST              </v>
      </c>
      <c r="N341">
        <v>1.47</v>
      </c>
      <c r="O341" t="str">
        <f t="shared" si="121"/>
        <v xml:space="preserve">          </v>
      </c>
      <c r="P341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42" spans="1:16" x14ac:dyDescent="0.25">
      <c r="A342" t="str">
        <f t="shared" si="117"/>
        <v>10</v>
      </c>
      <c r="B342" t="str">
        <f t="shared" si="120"/>
        <v>22</v>
      </c>
      <c r="C342" s="1">
        <v>45426</v>
      </c>
      <c r="D342" t="str">
        <f>CLEAN("2420-00-70")</f>
        <v>2420-00-70</v>
      </c>
      <c r="E342" t="str">
        <f>CLEAN("303  ")</f>
        <v xml:space="preserve">303  </v>
      </c>
      <c r="F342" t="str">
        <f>CLEAN("$1,000,000 - $1,999,999  ")</f>
        <v xml:space="preserve">$1,000,000 - $1,999,999  </v>
      </c>
      <c r="G342" t="str">
        <f>CLEAN("LET")</f>
        <v>LET</v>
      </c>
      <c r="H342" t="str">
        <f>CLEAN("LET CONSTRUCTION         ")</f>
        <v xml:space="preserve">LET CONSTRUCTION         </v>
      </c>
      <c r="I342" t="str">
        <f>CLEAN("CONST/RECONSTRUCT                  ")</f>
        <v xml:space="preserve">CONST/RECONSTRUCT                  </v>
      </c>
      <c r="J342" t="str">
        <f>CLEAN("STH 075")</f>
        <v>STH 075</v>
      </c>
      <c r="K342" t="str">
        <f>CLEAN("RACINE                        ")</f>
        <v xml:space="preserve">RACINE                        </v>
      </c>
      <c r="L342" t="str">
        <f>CLEAN("PADDOCK LAKE - BEAUMONT            ")</f>
        <v xml:space="preserve">PADDOCK LAKE - BEAUMONT            </v>
      </c>
      <c r="M342" t="str">
        <f>CLEAN("CTH A INTERSECTION                 ")</f>
        <v xml:space="preserve">CTH A INTERSECTION                 </v>
      </c>
      <c r="N342">
        <v>5.0000000000000001E-3</v>
      </c>
      <c r="O342" t="str">
        <f t="shared" si="121"/>
        <v xml:space="preserve">          </v>
      </c>
      <c r="P34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43" spans="1:16" x14ac:dyDescent="0.25">
      <c r="A343" t="str">
        <f t="shared" si="117"/>
        <v>10</v>
      </c>
      <c r="B343" t="str">
        <f t="shared" si="120"/>
        <v>22</v>
      </c>
      <c r="C343" s="1">
        <v>45426</v>
      </c>
      <c r="D343" t="str">
        <f>CLEAN("2420-00-70")</f>
        <v>2420-00-70</v>
      </c>
      <c r="E343" t="str">
        <f>CLEAN("303  ")</f>
        <v xml:space="preserve">303  </v>
      </c>
      <c r="F343" t="str">
        <f>CLEAN("$1,000,000 - $1,999,999  ")</f>
        <v xml:space="preserve">$1,000,000 - $1,999,999  </v>
      </c>
      <c r="G343" t="str">
        <f>CLEAN("LET")</f>
        <v>LET</v>
      </c>
      <c r="H343" t="str">
        <f>CLEAN("LET CONSTRUCTION         ")</f>
        <v xml:space="preserve">LET CONSTRUCTION         </v>
      </c>
      <c r="I343" t="str">
        <f>CLEAN("CONST/RECONSTRUCT                  ")</f>
        <v xml:space="preserve">CONST/RECONSTRUCT                  </v>
      </c>
      <c r="J343" t="str">
        <f>CLEAN("STH 075")</f>
        <v>STH 075</v>
      </c>
      <c r="K343" t="str">
        <f>CLEAN("RACINE                        ")</f>
        <v xml:space="preserve">RACINE                        </v>
      </c>
      <c r="L343" t="str">
        <f>CLEAN("PADDOCK LAKE - BEAUMONT            ")</f>
        <v xml:space="preserve">PADDOCK LAKE - BEAUMONT            </v>
      </c>
      <c r="M343" t="str">
        <f>CLEAN("CTH A INTERSECTION                 ")</f>
        <v xml:space="preserve">CTH A INTERSECTION                 </v>
      </c>
      <c r="N343">
        <v>5.0000000000000001E-3</v>
      </c>
      <c r="O343" t="str">
        <f t="shared" si="121"/>
        <v xml:space="preserve">          </v>
      </c>
      <c r="P34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4" spans="1:16" x14ac:dyDescent="0.25">
      <c r="A344" t="str">
        <f t="shared" si="117"/>
        <v>10</v>
      </c>
      <c r="B344" t="str">
        <f t="shared" si="120"/>
        <v>22</v>
      </c>
      <c r="C344" s="1">
        <v>45426</v>
      </c>
      <c r="D344" t="str">
        <f>CLEAN("2420-00-71")</f>
        <v>2420-00-71</v>
      </c>
      <c r="E344" t="str">
        <f>CLEAN("303  ")</f>
        <v xml:space="preserve">303  </v>
      </c>
      <c r="F344" t="str">
        <f>CLEAN("$6,000,000 - $6,999,999  ")</f>
        <v xml:space="preserve">$6,000,000 - $6,999,999  </v>
      </c>
      <c r="G344" t="str">
        <f>CLEAN("LET")</f>
        <v>LET</v>
      </c>
      <c r="H344" t="str">
        <f>CLEAN("LET CONSTRUCTION         ")</f>
        <v xml:space="preserve">LET CONSTRUCTION         </v>
      </c>
      <c r="I344" t="str">
        <f>CLEAN("CONST/RESURFACE                    ")</f>
        <v xml:space="preserve">CONST/RESURFACE                    </v>
      </c>
      <c r="J344" t="str">
        <f>CLEAN("STH 075")</f>
        <v>STH 075</v>
      </c>
      <c r="K344" t="str">
        <f>CLEAN("KENOSHA                       ")</f>
        <v xml:space="preserve">KENOSHA                       </v>
      </c>
      <c r="L344" t="str">
        <f>CLEAN("PADDOCK LAKE - BEAUMONT            ")</f>
        <v xml:space="preserve">PADDOCK LAKE - BEAUMONT            </v>
      </c>
      <c r="M344" t="str">
        <f>CLEAN("STH 50 - STH 20                    ")</f>
        <v xml:space="preserve">STH 50 - STH 20                    </v>
      </c>
      <c r="N344">
        <v>12.04</v>
      </c>
      <c r="O344" t="str">
        <f t="shared" si="121"/>
        <v xml:space="preserve">          </v>
      </c>
      <c r="P34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5" spans="1:16" x14ac:dyDescent="0.25">
      <c r="A345" t="str">
        <f t="shared" si="117"/>
        <v>10</v>
      </c>
      <c r="B345" t="str">
        <f t="shared" si="120"/>
        <v>22</v>
      </c>
      <c r="C345" s="1">
        <v>45300</v>
      </c>
      <c r="D345" t="str">
        <f>CLEAN("2455-07-70")</f>
        <v>2455-07-70</v>
      </c>
      <c r="E345" t="str">
        <f>CLEAN("206  ")</f>
        <v xml:space="preserve">206  </v>
      </c>
      <c r="F345" t="str">
        <f>CLEAN("$5,000,000 - $5,999,999  ")</f>
        <v xml:space="preserve">$5,000,000 - $5,999,999  </v>
      </c>
      <c r="G345" t="str">
        <f>CLEAN("LET")</f>
        <v>LET</v>
      </c>
      <c r="H345" t="str">
        <f>CLEAN("LET CONSTRUCTION         ")</f>
        <v xml:space="preserve">LET CONSTRUCTION         </v>
      </c>
      <c r="I345" t="str">
        <f>CLEAN("CONST/RECONDITION                  ")</f>
        <v xml:space="preserve">CONST/RECONDITION                  </v>
      </c>
      <c r="J345" t="str">
        <f>CLEAN("LOC STR")</f>
        <v>LOC STR</v>
      </c>
      <c r="K345" t="str">
        <f>CLEAN("MILWAUKEE                     ")</f>
        <v xml:space="preserve">MILWAUKEE                     </v>
      </c>
      <c r="L345" t="str">
        <f>CLEAN("C MILWAUKEE E/W LOCUST STREET      ")</f>
        <v xml:space="preserve">C MILWAUKEE E/W LOCUST STREET      </v>
      </c>
      <c r="M345" t="str">
        <f>CLEAN("N 7TH STREET TO N HOLTON STREET    ")</f>
        <v xml:space="preserve">N 7TH STREET TO N HOLTON STREET    </v>
      </c>
      <c r="N345">
        <v>0.73699999999999999</v>
      </c>
      <c r="O345" t="str">
        <f t="shared" si="121"/>
        <v xml:space="preserve">          </v>
      </c>
      <c r="P34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46" spans="1:16" x14ac:dyDescent="0.25">
      <c r="A346" t="str">
        <f t="shared" si="117"/>
        <v>10</v>
      </c>
      <c r="B346" t="str">
        <f t="shared" si="120"/>
        <v>22</v>
      </c>
      <c r="C346" s="1">
        <v>45285</v>
      </c>
      <c r="D346" t="str">
        <f>CLEAN("2475-04-21")</f>
        <v>2475-04-21</v>
      </c>
      <c r="E346" t="str">
        <f>CLEAN("303  ")</f>
        <v xml:space="preserve">303  </v>
      </c>
      <c r="F346" t="str">
        <f>CLEAN("$100,000-$249,999        ")</f>
        <v xml:space="preserve">$100,000-$249,999        </v>
      </c>
      <c r="G346" t="str">
        <f>CLEAN("R/E")</f>
        <v>R/E</v>
      </c>
      <c r="H346" t="str">
        <f>CLEAN("NONLET CONSTR/REAL ESTATE")</f>
        <v>NONLET CONSTR/REAL ESTATE</v>
      </c>
      <c r="I346" t="str">
        <f>CLEAN("RE/RECST                           ")</f>
        <v xml:space="preserve">RE/RECST                           </v>
      </c>
      <c r="J346" t="str">
        <f>CLEAN("STH 145")</f>
        <v>STH 145</v>
      </c>
      <c r="K346" t="str">
        <f>CLEAN("WASHINGTON                    ")</f>
        <v xml:space="preserve">WASHINGTON                    </v>
      </c>
      <c r="L346" t="str">
        <f>CLEAN("V GERMANTOWN-FOND DU LAC AVENUE    ")</f>
        <v xml:space="preserve">V GERMANTOWN-FOND DU LAC AVENUE    </v>
      </c>
      <c r="M346" t="str">
        <f>CLEAN("INTERSECTION WITH CTH G            ")</f>
        <v xml:space="preserve">INTERSECTION WITH CTH G            </v>
      </c>
      <c r="N346">
        <v>0.03</v>
      </c>
      <c r="O346" t="str">
        <f t="shared" si="121"/>
        <v xml:space="preserve">          </v>
      </c>
      <c r="P34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47" spans="1:16" x14ac:dyDescent="0.25">
      <c r="A347" t="str">
        <f t="shared" si="117"/>
        <v>10</v>
      </c>
      <c r="B347" t="str">
        <f t="shared" si="120"/>
        <v>22</v>
      </c>
      <c r="C347" s="1">
        <v>45498</v>
      </c>
      <c r="D347" t="str">
        <f>CLEAN("2475-08-21")</f>
        <v>2475-08-21</v>
      </c>
      <c r="E347" t="str">
        <f>CLEAN("303  ")</f>
        <v xml:space="preserve">303  </v>
      </c>
      <c r="F347" t="str">
        <f>CLEAN("$100,000-$249,999        ")</f>
        <v xml:space="preserve">$100,000-$249,999        </v>
      </c>
      <c r="G347" t="str">
        <f>CLEAN("R/E")</f>
        <v>R/E</v>
      </c>
      <c r="H347" t="str">
        <f>CLEAN("NONLET CONSTR/REAL ESTATE")</f>
        <v>NONLET CONSTR/REAL ESTATE</v>
      </c>
      <c r="I347" t="str">
        <f>CLEAN("RE/RESURFACE                       ")</f>
        <v xml:space="preserve">RE/RESURFACE                       </v>
      </c>
      <c r="J347" t="str">
        <f>CLEAN("STH 145")</f>
        <v>STH 145</v>
      </c>
      <c r="K347" t="str">
        <f>CLEAN("WASHINGTON                    ")</f>
        <v xml:space="preserve">WASHINGTON                    </v>
      </c>
      <c r="L347" t="str">
        <f>CLEAN("STH 145 - FOND DU LAC AVE          ")</f>
        <v xml:space="preserve">STH 145 - FOND DU LAC AVE          </v>
      </c>
      <c r="M347" t="str">
        <f>CLEAN("STH 100 TO STH 167                 ")</f>
        <v xml:space="preserve">STH 100 TO STH 167                 </v>
      </c>
      <c r="N347">
        <v>3.3279999999999998</v>
      </c>
      <c r="O347" t="str">
        <f t="shared" si="121"/>
        <v xml:space="preserve">          </v>
      </c>
      <c r="P3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8" spans="1:16" x14ac:dyDescent="0.25">
      <c r="A348" t="str">
        <f t="shared" si="117"/>
        <v>10</v>
      </c>
      <c r="B348" t="str">
        <f t="shared" si="120"/>
        <v>22</v>
      </c>
      <c r="C348" s="1">
        <v>45590</v>
      </c>
      <c r="D348" t="str">
        <f>CLEAN("2480-07-20")</f>
        <v>2480-07-20</v>
      </c>
      <c r="E348" t="str">
        <f>CLEAN("303  ")</f>
        <v xml:space="preserve">303  </v>
      </c>
      <c r="F348" t="str">
        <f>CLEAN("$0 - $99,999             ")</f>
        <v xml:space="preserve">$0 - $99,999             </v>
      </c>
      <c r="G348" t="str">
        <f>CLEAN("R/E")</f>
        <v>R/E</v>
      </c>
      <c r="H348" t="str">
        <f>CLEAN("NONLET CONSTR/REAL ESTATE")</f>
        <v>NONLET CONSTR/REAL ESTATE</v>
      </c>
      <c r="I348" t="str">
        <f>CLEAN("RE/RSRF20                          ")</f>
        <v xml:space="preserve">RE/RSRF20                          </v>
      </c>
      <c r="J348" t="str">
        <f>CLEAN("STH 144")</f>
        <v>STH 144</v>
      </c>
      <c r="K348" t="str">
        <f>CLEAN("WASHINGTON                    ")</f>
        <v xml:space="preserve">WASHINGTON                    </v>
      </c>
      <c r="L348" t="str">
        <f>CLEAN("KETTLE MORAINE SCENIC DRIVE        ")</f>
        <v xml:space="preserve">KETTLE MORAINE SCENIC DRIVE        </v>
      </c>
      <c r="M348" t="str">
        <f>CLEAN("IH 41 TO STH 33                    ")</f>
        <v xml:space="preserve">IH 41 TO STH 33                    </v>
      </c>
      <c r="N348">
        <v>5.6429999999999998</v>
      </c>
      <c r="O348" t="str">
        <f t="shared" si="121"/>
        <v xml:space="preserve">          </v>
      </c>
      <c r="P34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9" spans="1:16" x14ac:dyDescent="0.25">
      <c r="A349" t="str">
        <f t="shared" si="117"/>
        <v>10</v>
      </c>
      <c r="B349" t="str">
        <f t="shared" si="120"/>
        <v>22</v>
      </c>
      <c r="C349" s="1">
        <v>45363</v>
      </c>
      <c r="D349" t="str">
        <f>CLEAN("2505-03-71")</f>
        <v>2505-03-71</v>
      </c>
      <c r="E349" t="str">
        <f>CLEAN("206  ")</f>
        <v xml:space="preserve">206  </v>
      </c>
      <c r="F349" t="str">
        <f>CLEAN("$5,000,000 - $5,999,999  ")</f>
        <v xml:space="preserve">$5,000,000 - $5,999,999  </v>
      </c>
      <c r="G349" t="str">
        <f>CLEAN("LET")</f>
        <v>LET</v>
      </c>
      <c r="H349" t="str">
        <f>CLEAN("LET CONSTRUCTION         ")</f>
        <v xml:space="preserve">LET CONSTRUCTION         </v>
      </c>
      <c r="I349" t="str">
        <f>CLEAN("CONST/RECONSTRUCT NO ADDL LANES    ")</f>
        <v xml:space="preserve">CONST/RECONSTRUCT NO ADDL LANES    </v>
      </c>
      <c r="J349" t="str">
        <f>CLEAN("CTH V  ")</f>
        <v xml:space="preserve">CTH V  </v>
      </c>
      <c r="K349" t="str">
        <f>CLEAN("MILWAUKEE                     ")</f>
        <v xml:space="preserve">MILWAUKEE                     </v>
      </c>
      <c r="L349" t="str">
        <f>CLEAN("C OAK CREEK S 13TH STREET          ")</f>
        <v xml:space="preserve">C OAK CREEK S 13TH STREET          </v>
      </c>
      <c r="M349" t="str">
        <f>CLEAN("W PUETZ ROAD TO W DREXEL AVENUE    ")</f>
        <v xml:space="preserve">W PUETZ ROAD TO W DREXEL AVENUE    </v>
      </c>
      <c r="N349">
        <v>0.93</v>
      </c>
      <c r="O349" t="str">
        <f t="shared" si="121"/>
        <v xml:space="preserve">          </v>
      </c>
      <c r="P349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0" spans="1:16" x14ac:dyDescent="0.25">
      <c r="A350" t="str">
        <f t="shared" si="117"/>
        <v>10</v>
      </c>
      <c r="B350" t="str">
        <f t="shared" si="120"/>
        <v>22</v>
      </c>
      <c r="C350" s="1">
        <v>45426</v>
      </c>
      <c r="D350" t="str">
        <f>CLEAN("2525-03-73")</f>
        <v>2525-03-73</v>
      </c>
      <c r="E350" t="str">
        <f>CLEAN("206  ")</f>
        <v xml:space="preserve">206  </v>
      </c>
      <c r="F350" t="str">
        <f>CLEAN("$500,000 - $749,999      ")</f>
        <v xml:space="preserve">$500,000 - $749,999      </v>
      </c>
      <c r="G350" t="str">
        <f>CLEAN("LET")</f>
        <v>LET</v>
      </c>
      <c r="H350" t="str">
        <f>CLEAN("LET CONSTRUCTION         ")</f>
        <v xml:space="preserve">LET CONSTRUCTION         </v>
      </c>
      <c r="I350" t="str">
        <f>CLEAN("CONT/RECONSTRUCT, NO ADDL LANES    ")</f>
        <v xml:space="preserve">CONT/RECONSTRUCT, NO ADDL LANES    </v>
      </c>
      <c r="J350" t="str">
        <f>CLEAN("LOC STR")</f>
        <v>LOC STR</v>
      </c>
      <c r="K350" t="str">
        <f>CLEAN("MILWAUKEE                     ")</f>
        <v xml:space="preserve">MILWAUKEE                     </v>
      </c>
      <c r="L350" t="str">
        <f>CLEAN("C WEST ALLIS, W BELOIT ROAD        ")</f>
        <v xml:space="preserve">C WEST ALLIS, W BELOIT ROAD        </v>
      </c>
      <c r="M350" t="str">
        <f>CLEAN("MOBILE ST -UP RR CROSS             ")</f>
        <v xml:space="preserve">MOBILE ST -UP RR CROSS             </v>
      </c>
      <c r="N350">
        <v>2.5000000000000001E-2</v>
      </c>
      <c r="O350" t="str">
        <f t="shared" si="121"/>
        <v xml:space="preserve">          </v>
      </c>
      <c r="P35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1" spans="1:16" x14ac:dyDescent="0.25">
      <c r="A351" t="str">
        <f t="shared" si="117"/>
        <v>10</v>
      </c>
      <c r="B351" t="str">
        <f t="shared" si="120"/>
        <v>22</v>
      </c>
      <c r="C351" s="1">
        <v>45376</v>
      </c>
      <c r="D351" t="str">
        <f>CLEAN("2555-07-70")</f>
        <v>2555-07-70</v>
      </c>
      <c r="E351" t="str">
        <f>CLEAN("211  ")</f>
        <v xml:space="preserve">211  </v>
      </c>
      <c r="F351" t="str">
        <f>CLEAN("$1,000,000 - $1,999,999  ")</f>
        <v xml:space="preserve">$1,000,000 - $1,999,999  </v>
      </c>
      <c r="G351" t="str">
        <f>CLEAN("LLC")</f>
        <v>LLC</v>
      </c>
      <c r="H351" t="str">
        <f>CLEAN("NONLET CONSTR/REAL ESTATE")</f>
        <v>NONLET CONSTR/REAL ESTATE</v>
      </c>
      <c r="I351" t="str">
        <f>CLEAN("CONST/PED BIKE FACILITIES          ")</f>
        <v xml:space="preserve">CONST/PED BIKE FACILITIES          </v>
      </c>
      <c r="J351" t="str">
        <f>CLEAN("NON HWY")</f>
        <v>NON HWY</v>
      </c>
      <c r="K351" t="str">
        <f>CLEAN("MILWAUKEE                     ")</f>
        <v xml:space="preserve">MILWAUKEE                     </v>
      </c>
      <c r="L351" t="str">
        <f>CLEAN("SAFE ROUTES TO TRANSIT PHASE 1     ")</f>
        <v xml:space="preserve">SAFE ROUTES TO TRANSIT PHASE 1     </v>
      </c>
      <c r="M351" t="str">
        <f>CLEAN("W BURLEIGH, S CESAR CHAVEZ         ")</f>
        <v xml:space="preserve">W BURLEIGH, S CESAR CHAVEZ         </v>
      </c>
      <c r="N351">
        <v>0</v>
      </c>
      <c r="O351" t="str">
        <f t="shared" si="121"/>
        <v xml:space="preserve">          </v>
      </c>
      <c r="P351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52" spans="1:16" x14ac:dyDescent="0.25">
      <c r="A352" t="str">
        <f t="shared" si="117"/>
        <v>10</v>
      </c>
      <c r="B352" t="str">
        <f t="shared" si="120"/>
        <v>22</v>
      </c>
      <c r="C352" s="1">
        <v>45590</v>
      </c>
      <c r="D352" t="str">
        <f>CLEAN("2565-03-23")</f>
        <v>2565-03-23</v>
      </c>
      <c r="E352" t="str">
        <f>CLEAN("303  ")</f>
        <v xml:space="preserve">303  </v>
      </c>
      <c r="F352" t="str">
        <f>CLEAN("$0 - $99,999             ")</f>
        <v xml:space="preserve">$0 - $99,999             </v>
      </c>
      <c r="G352" t="str">
        <f>CLEAN("R/E")</f>
        <v>R/E</v>
      </c>
      <c r="H352" t="str">
        <f>CLEAN("NONLET CONSTR/REAL ESTATE")</f>
        <v>NONLET CONSTR/REAL ESTATE</v>
      </c>
      <c r="I352" t="str">
        <f>CLEAN("RE/RSRF 25                         ")</f>
        <v xml:space="preserve">RE/RSRF 25                         </v>
      </c>
      <c r="J352" t="str">
        <f>CLEAN("STH 057")</f>
        <v>STH 057</v>
      </c>
      <c r="K352" t="str">
        <f>CLEAN("MILWAUKEE                     ")</f>
        <v xml:space="preserve">MILWAUKEE                     </v>
      </c>
      <c r="L352" t="str">
        <f>CLEAN("C GLENDALE N GREEN BAY AVENUE      ")</f>
        <v xml:space="preserve">C GLENDALE N GREEN BAY AVENUE      </v>
      </c>
      <c r="M352" t="str">
        <f>CLEAN("0.1 MI S OF FAIRLANE TO TEUTONIA   ")</f>
        <v xml:space="preserve">0.1 MI S OF FAIRLANE TO TEUTONIA   </v>
      </c>
      <c r="N352">
        <v>2.0099999999999998</v>
      </c>
      <c r="O352" t="str">
        <f t="shared" si="121"/>
        <v xml:space="preserve">          </v>
      </c>
      <c r="P3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53" spans="1:16" x14ac:dyDescent="0.25">
      <c r="A353" t="str">
        <f t="shared" si="117"/>
        <v>10</v>
      </c>
      <c r="B353" t="str">
        <f t="shared" si="120"/>
        <v>22</v>
      </c>
      <c r="C353" s="1">
        <v>45529</v>
      </c>
      <c r="D353" t="str">
        <f>CLEAN("2697-22-70")</f>
        <v>2697-22-70</v>
      </c>
      <c r="E353" t="str">
        <f>CLEAN("290  ")</f>
        <v xml:space="preserve">290  </v>
      </c>
      <c r="F353" t="str">
        <f>CLEAN("$750,000 - $999,999      ")</f>
        <v xml:space="preserve">$750,000 - $999,999      </v>
      </c>
      <c r="G353" t="str">
        <f>CLEAN("LLC")</f>
        <v>LLC</v>
      </c>
      <c r="H353" t="str">
        <f>CLEAN("NONLET CONSTR/REAL ESTATE")</f>
        <v>NONLET CONSTR/REAL ESTATE</v>
      </c>
      <c r="I353" t="str">
        <f>CLEAN("CONST/TRAIL                        ")</f>
        <v xml:space="preserve">CONST/TRAIL                        </v>
      </c>
      <c r="J353" t="str">
        <f>CLEAN("NON HWY")</f>
        <v>NON HWY</v>
      </c>
      <c r="K353" t="str">
        <f>CLEAN("OZAUKEE                       ")</f>
        <v xml:space="preserve">OZAUKEE                       </v>
      </c>
      <c r="L353" t="str">
        <f>CLEAN("HIGHLAND ROAD BIKE SPUR            ")</f>
        <v xml:space="preserve">HIGHLAND ROAD BIKE SPUR            </v>
      </c>
      <c r="M353" t="str">
        <f>CLEAN("ROTARY PK-OZAUKEE INTERURBAN TRL   ")</f>
        <v xml:space="preserve">ROTARY PK-OZAUKEE INTERURBAN TRL   </v>
      </c>
      <c r="N353">
        <v>0</v>
      </c>
      <c r="O353" t="str">
        <f t="shared" si="121"/>
        <v xml:space="preserve">          </v>
      </c>
      <c r="P353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54" spans="1:16" x14ac:dyDescent="0.25">
      <c r="A354" t="str">
        <f t="shared" si="117"/>
        <v>10</v>
      </c>
      <c r="B354" t="str">
        <f t="shared" si="120"/>
        <v>22</v>
      </c>
      <c r="C354" s="1">
        <v>45545</v>
      </c>
      <c r="D354" t="str">
        <f>CLEAN("2699-00-73")</f>
        <v>2699-00-73</v>
      </c>
      <c r="E354" t="str">
        <f>CLEAN("206  ")</f>
        <v xml:space="preserve">206  </v>
      </c>
      <c r="F354" t="str">
        <f>CLEAN("$500,000 - $749,999      ")</f>
        <v xml:space="preserve">$500,000 - $749,999      </v>
      </c>
      <c r="G354" t="str">
        <f>CLEAN("LET")</f>
        <v>LET</v>
      </c>
      <c r="H354" t="str">
        <f>CLEAN("LET CONSTRUCTION         ")</f>
        <v xml:space="preserve">LET CONSTRUCTION         </v>
      </c>
      <c r="I354" t="str">
        <f>CLEAN("CONST/RCND20                       ")</f>
        <v xml:space="preserve">CONST/RCND20                       </v>
      </c>
      <c r="J354" t="str">
        <f>CLEAN("LOC STR")</f>
        <v>LOC STR</v>
      </c>
      <c r="K354" t="str">
        <f>CLEAN("RACINE                        ")</f>
        <v xml:space="preserve">RACINE                        </v>
      </c>
      <c r="L354" t="str">
        <f>CLEAN("T NORWAY, BURMEISTER RD            ")</f>
        <v xml:space="preserve">T NORWAY, BURMEISTER RD            </v>
      </c>
      <c r="M354" t="str">
        <f>CLEAN("BRITTON RD TO .7 MI W OF BRITTON RD")</f>
        <v>BRITTON RD TO .7 MI W OF BRITTON RD</v>
      </c>
      <c r="N354">
        <v>0.7</v>
      </c>
      <c r="O354" t="str">
        <f t="shared" si="121"/>
        <v xml:space="preserve">          </v>
      </c>
      <c r="P35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355" spans="1:16" x14ac:dyDescent="0.25">
      <c r="A355" t="str">
        <f t="shared" si="117"/>
        <v>10</v>
      </c>
      <c r="B355" t="str">
        <f t="shared" si="120"/>
        <v>22</v>
      </c>
      <c r="C355" s="1">
        <v>45426</v>
      </c>
      <c r="D355" t="str">
        <f>CLEAN("2702-00-75")</f>
        <v>2702-00-75</v>
      </c>
      <c r="E355" t="str">
        <f>CLEAN("205  ")</f>
        <v xml:space="preserve">205  </v>
      </c>
      <c r="F355" t="str">
        <f>CLEAN("$250,000 - $499,999      ")</f>
        <v xml:space="preserve">$250,000 - $499,999      </v>
      </c>
      <c r="G355" t="str">
        <f>CLEAN("LET")</f>
        <v>LET</v>
      </c>
      <c r="H355" t="str">
        <f>CLEAN("LET CONSTRUCTION         ")</f>
        <v xml:space="preserve">LET CONSTRUCTION         </v>
      </c>
      <c r="I355" t="str">
        <f>CLEAN("CONST/BRRPL                        ")</f>
        <v xml:space="preserve">CONST/BRRPL                        </v>
      </c>
      <c r="J355" t="str">
        <f>CLEAN("LOC STR")</f>
        <v>LOC STR</v>
      </c>
      <c r="K355" t="str">
        <f>CLEAN("RACINE                        ")</f>
        <v xml:space="preserve">RACINE                        </v>
      </c>
      <c r="L355" t="str">
        <f>CLEAN("V YORKVILLE - 2 MILE ROAD          ")</f>
        <v xml:space="preserve">V YORKVILLE - 2 MILE ROAD          </v>
      </c>
      <c r="M355" t="str">
        <f>CLEAN("OVER W BRANCH ROOT CANAL P51-56    ")</f>
        <v xml:space="preserve">OVER W BRANCH ROOT CANAL P51-56    </v>
      </c>
      <c r="N355">
        <v>0</v>
      </c>
      <c r="O355" t="str">
        <f t="shared" si="121"/>
        <v xml:space="preserve">          </v>
      </c>
      <c r="P35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56" spans="1:16" x14ac:dyDescent="0.25">
      <c r="A356" t="str">
        <f t="shared" si="117"/>
        <v>10</v>
      </c>
      <c r="B356" t="str">
        <f t="shared" si="120"/>
        <v>22</v>
      </c>
      <c r="C356" s="1">
        <v>45608</v>
      </c>
      <c r="D356" t="str">
        <f>CLEAN("2703-09-71")</f>
        <v>2703-09-71</v>
      </c>
      <c r="E356" t="str">
        <f>CLEAN("206  ")</f>
        <v xml:space="preserve">206  </v>
      </c>
      <c r="F356" t="str">
        <f>CLEAN("$2,000,000 - $2,999,999  ")</f>
        <v xml:space="preserve">$2,000,000 - $2,999,999  </v>
      </c>
      <c r="G356" t="str">
        <f>CLEAN("LET")</f>
        <v>LET</v>
      </c>
      <c r="H356" t="str">
        <f>CLEAN("LET CONSTRUCTION         ")</f>
        <v xml:space="preserve">LET CONSTRUCTION         </v>
      </c>
      <c r="I356" t="str">
        <f>CLEAN("CONST/RECONSTRUCT NO ADDL LANES    ")</f>
        <v xml:space="preserve">CONST/RECONSTRUCT NO ADDL LANES    </v>
      </c>
      <c r="J356" t="str">
        <f>CLEAN("LOC STR")</f>
        <v>LOC STR</v>
      </c>
      <c r="K356" t="str">
        <f>CLEAN("RACINE                        ")</f>
        <v xml:space="preserve">RACINE                        </v>
      </c>
      <c r="L356" t="str">
        <f>CLEAN("C RACINE N MAIN STREET             ")</f>
        <v xml:space="preserve">C RACINE N MAIN STREET             </v>
      </c>
      <c r="M356" t="str">
        <f>CLEAN("GOOLD ST TO MELVIN AVE             ")</f>
        <v xml:space="preserve">GOOLD ST TO MELVIN AVE             </v>
      </c>
      <c r="N356">
        <v>0.53600000000000003</v>
      </c>
      <c r="O356" t="str">
        <f t="shared" si="121"/>
        <v xml:space="preserve">          </v>
      </c>
      <c r="P356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57" spans="1:16" x14ac:dyDescent="0.25">
      <c r="A357" t="str">
        <f t="shared" si="117"/>
        <v>10</v>
      </c>
      <c r="B357" t="str">
        <f t="shared" si="120"/>
        <v>22</v>
      </c>
      <c r="C357" s="1">
        <v>45468</v>
      </c>
      <c r="D357" t="str">
        <f>CLEAN("2705-04-81")</f>
        <v>2705-04-81</v>
      </c>
      <c r="E357" t="str">
        <f>CLEAN("206  ")</f>
        <v xml:space="preserve">206  </v>
      </c>
      <c r="F357" t="str">
        <f>CLEAN("$100,000-$249,999        ")</f>
        <v xml:space="preserve">$100,000-$249,999        </v>
      </c>
      <c r="G357" t="str">
        <f>CLEAN("MIS")</f>
        <v>MIS</v>
      </c>
      <c r="H357" t="str">
        <f>CLEAN("NONLET CONSTR/REAL ESTATE")</f>
        <v>NONLET CONSTR/REAL ESTATE</v>
      </c>
      <c r="I357" t="str">
        <f>CLEAN("PROCUREMENT/STREET LIGHTING        ")</f>
        <v xml:space="preserve">PROCUREMENT/STREET LIGHTING        </v>
      </c>
      <c r="J357" t="str">
        <f>CLEAN("VAR HWY")</f>
        <v>VAR HWY</v>
      </c>
      <c r="K357" t="str">
        <f>CLEAN("WASHINGTON                    ")</f>
        <v xml:space="preserve">WASHINGTON                    </v>
      </c>
      <c r="L357" t="str">
        <f>CLEAN("C HARTFORD, LIGHTING CONVERSION    ")</f>
        <v xml:space="preserve">C HARTFORD, LIGHTING CONVERSION    </v>
      </c>
      <c r="M357" t="str">
        <f>CLEAN("VARIOUS LOCATIONS WITHIN THE CITY  ")</f>
        <v xml:space="preserve">VARIOUS LOCATIONS WITHIN THE CITY  </v>
      </c>
      <c r="N357">
        <v>0</v>
      </c>
      <c r="O357" t="str">
        <f t="shared" si="121"/>
        <v xml:space="preserve">          </v>
      </c>
      <c r="P357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358" spans="1:16" x14ac:dyDescent="0.25">
      <c r="A358" t="str">
        <f t="shared" si="117"/>
        <v>10</v>
      </c>
      <c r="B358" t="str">
        <f t="shared" ref="B358:B389" si="122">CLEAN("22")</f>
        <v>22</v>
      </c>
      <c r="C358" s="1">
        <v>45498</v>
      </c>
      <c r="D358" t="str">
        <f>CLEAN("2707-05-21")</f>
        <v>2707-05-21</v>
      </c>
      <c r="E358" t="str">
        <f>CLEAN("206  ")</f>
        <v xml:space="preserve">206  </v>
      </c>
      <c r="F358" t="str">
        <f>CLEAN("$100,000-$249,999        ")</f>
        <v xml:space="preserve">$100,000-$249,999        </v>
      </c>
      <c r="G358" t="str">
        <f>CLEAN("R/E")</f>
        <v>R/E</v>
      </c>
      <c r="H358" t="str">
        <f>CLEAN("NONLET CONSTR/REAL ESTATE")</f>
        <v>NONLET CONSTR/REAL ESTATE</v>
      </c>
      <c r="I358" t="str">
        <f>CLEAN("RE/RECSTE                          ")</f>
        <v xml:space="preserve">RE/RECSTE                          </v>
      </c>
      <c r="J358" t="str">
        <f>CLEAN("LOC STR")</f>
        <v>LOC STR</v>
      </c>
      <c r="K358" t="str">
        <f>CLEAN("WASHINGTON                    ")</f>
        <v xml:space="preserve">WASHINGTON                    </v>
      </c>
      <c r="L358" t="str">
        <f>CLEAN("C WEST BEND, S MAIN ST             ")</f>
        <v xml:space="preserve">C WEST BEND, S MAIN ST             </v>
      </c>
      <c r="M358" t="str">
        <f>CLEAN("HUMAR ST TO PROGRESS DR            ")</f>
        <v xml:space="preserve">HUMAR ST TO PROGRESS DR            </v>
      </c>
      <c r="N358">
        <v>0.31</v>
      </c>
      <c r="O358" t="str">
        <f t="shared" si="121"/>
        <v xml:space="preserve">          </v>
      </c>
      <c r="P358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59" spans="1:16" x14ac:dyDescent="0.25">
      <c r="A359" t="str">
        <f t="shared" si="117"/>
        <v>10</v>
      </c>
      <c r="B359" t="str">
        <f t="shared" si="122"/>
        <v>22</v>
      </c>
      <c r="C359" s="1">
        <v>45426</v>
      </c>
      <c r="D359" t="str">
        <f>CLEAN("2707-09-70")</f>
        <v>2707-09-70</v>
      </c>
      <c r="E359" t="str">
        <f>CLEAN("206  ")</f>
        <v xml:space="preserve">206  </v>
      </c>
      <c r="F359" t="str">
        <f>CLEAN("$2,000,000 - $2,999,999  ")</f>
        <v xml:space="preserve">$2,000,000 - $2,999,999  </v>
      </c>
      <c r="G359" t="str">
        <f t="shared" ref="G359:G364" si="123">CLEAN("LET")</f>
        <v>LET</v>
      </c>
      <c r="H359" t="str">
        <f t="shared" ref="H359:H364" si="124">CLEAN("LET CONSTRUCTION         ")</f>
        <v xml:space="preserve">LET CONSTRUCTION         </v>
      </c>
      <c r="I359" t="str">
        <f>CLEAN("CONST/FULL PS/MISC                 ")</f>
        <v xml:space="preserve">CONST/FULL PS/MISC                 </v>
      </c>
      <c r="J359" t="str">
        <f>CLEAN("LOC STR")</f>
        <v>LOC STR</v>
      </c>
      <c r="K359" t="str">
        <f>CLEAN("WASHINGTON                    ")</f>
        <v xml:space="preserve">WASHINGTON                    </v>
      </c>
      <c r="L359" t="str">
        <f>CLEAN("C WEST BEND MAIN &amp; PARADISE        ")</f>
        <v xml:space="preserve">C WEST BEND MAIN &amp; PARADISE        </v>
      </c>
      <c r="M359" t="str">
        <f>CLEAN("INTER/DECORAH/PARADISE/SILVERBROOK ")</f>
        <v xml:space="preserve">INTER/DECORAH/PARADISE/SILVERBROOK </v>
      </c>
      <c r="N359">
        <v>5.3999999999999999E-2</v>
      </c>
      <c r="O359" t="str">
        <f t="shared" si="121"/>
        <v xml:space="preserve">          </v>
      </c>
      <c r="P35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60" spans="1:16" x14ac:dyDescent="0.25">
      <c r="A360" t="str">
        <f t="shared" si="117"/>
        <v>10</v>
      </c>
      <c r="B360" t="str">
        <f t="shared" si="122"/>
        <v>22</v>
      </c>
      <c r="C360" s="1">
        <v>45335</v>
      </c>
      <c r="D360" t="str">
        <f>CLEAN("2711-06-70")</f>
        <v>2711-06-70</v>
      </c>
      <c r="E360" t="str">
        <f>CLEAN("206  ")</f>
        <v xml:space="preserve">206  </v>
      </c>
      <c r="F360" t="str">
        <f>CLEAN("$5,000,000 - $5,999,999  ")</f>
        <v xml:space="preserve">$5,000,000 - $5,999,999  </v>
      </c>
      <c r="G360" t="str">
        <f t="shared" si="123"/>
        <v>LET</v>
      </c>
      <c r="H360" t="str">
        <f t="shared" si="124"/>
        <v xml:space="preserve">LET CONSTRUCTION         </v>
      </c>
      <c r="I360" t="str">
        <f>CLEAN("CONST/RECONSTRUCT NO ADDL LANES    ")</f>
        <v xml:space="preserve">CONST/RECONSTRUCT NO ADDL LANES    </v>
      </c>
      <c r="J360" t="str">
        <f>CLEAN("CTH P  ")</f>
        <v xml:space="preserve">CTH P  </v>
      </c>
      <c r="K360" t="str">
        <f>CLEAN("WASHINGTON                    ")</f>
        <v xml:space="preserve">WASHINGTON                    </v>
      </c>
      <c r="L360" t="str">
        <f>CLEAN("POLK - JACKSON                     ")</f>
        <v xml:space="preserve">POLK - JACKSON                     </v>
      </c>
      <c r="M360" t="str">
        <f>CLEAN("STH 145 TO SHERMAN ROAD            ")</f>
        <v xml:space="preserve">STH 145 TO SHERMAN ROAD            </v>
      </c>
      <c r="N360">
        <v>1.8320000000000001</v>
      </c>
      <c r="O360" t="str">
        <f t="shared" si="121"/>
        <v xml:space="preserve">          </v>
      </c>
      <c r="P360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61" spans="1:16" x14ac:dyDescent="0.25">
      <c r="A361" t="str">
        <f t="shared" si="117"/>
        <v>10</v>
      </c>
      <c r="B361" t="str">
        <f t="shared" si="122"/>
        <v>22</v>
      </c>
      <c r="C361" s="1">
        <v>45426</v>
      </c>
      <c r="D361" t="str">
        <f>CLEAN("2717-03-72")</f>
        <v>2717-03-72</v>
      </c>
      <c r="E361" t="str">
        <f>CLEAN("205  ")</f>
        <v xml:space="preserve">205  </v>
      </c>
      <c r="F361" t="str">
        <f>CLEAN("$750,000 - $999,999      ")</f>
        <v xml:space="preserve">$750,000 - $999,999      </v>
      </c>
      <c r="G361" t="str">
        <f t="shared" si="123"/>
        <v>LET</v>
      </c>
      <c r="H361" t="str">
        <f t="shared" si="124"/>
        <v xml:space="preserve">LET CONSTRUCTION         </v>
      </c>
      <c r="I361" t="str">
        <f>CLEAN("CONST/BRRPL                        ")</f>
        <v xml:space="preserve">CONST/BRRPL                        </v>
      </c>
      <c r="J361" t="str">
        <f>CLEAN("LOC STR")</f>
        <v>LOC STR</v>
      </c>
      <c r="K361" t="str">
        <f t="shared" ref="K361:K371" si="125">CLEAN("WAUKESHA                      ")</f>
        <v xml:space="preserve">WAUKESHA                      </v>
      </c>
      <c r="L361" t="str">
        <f>CLEAN("C PEWAUKEE, BUSSE RD               ")</f>
        <v xml:space="preserve">C PEWAUKEE, BUSSE RD               </v>
      </c>
      <c r="M361" t="str">
        <f>CLEAN("PEWAUKEE RIVER P67-0094            ")</f>
        <v xml:space="preserve">PEWAUKEE RIVER P67-0094            </v>
      </c>
      <c r="N361">
        <v>0</v>
      </c>
      <c r="O361" t="str">
        <f t="shared" si="121"/>
        <v xml:space="preserve">          </v>
      </c>
      <c r="P36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62" spans="1:16" x14ac:dyDescent="0.25">
      <c r="A362" t="str">
        <f t="shared" si="117"/>
        <v>10</v>
      </c>
      <c r="B362" t="str">
        <f t="shared" si="122"/>
        <v>22</v>
      </c>
      <c r="C362" s="1">
        <v>45272</v>
      </c>
      <c r="D362" t="str">
        <f>CLEAN("2717-04-70")</f>
        <v>2717-04-70</v>
      </c>
      <c r="E362" t="str">
        <f>CLEAN("206  ")</f>
        <v xml:space="preserve">206  </v>
      </c>
      <c r="F362" t="str">
        <f>CLEAN("$2,000,000 - $2,999,999  ")</f>
        <v xml:space="preserve">$2,000,000 - $2,999,999  </v>
      </c>
      <c r="G362" t="str">
        <f t="shared" si="123"/>
        <v>LET</v>
      </c>
      <c r="H362" t="str">
        <f t="shared" si="124"/>
        <v xml:space="preserve">LET CONSTRUCTION         </v>
      </c>
      <c r="I362" t="str">
        <f>CLEAN("CONST/RESURFACE                    ")</f>
        <v xml:space="preserve">CONST/RESURFACE                    </v>
      </c>
      <c r="J362" t="str">
        <f>CLEAN("CTH T  ")</f>
        <v xml:space="preserve">CTH T  </v>
      </c>
      <c r="K362" t="str">
        <f t="shared" si="125"/>
        <v xml:space="preserve">WAUKESHA                      </v>
      </c>
      <c r="L362" t="str">
        <f>CLEAN("C WAUKESHA GRANDVIEW BLVD          ")</f>
        <v xml:space="preserve">C WAUKESHA GRANDVIEW BLVD          </v>
      </c>
      <c r="M362" t="str">
        <f>CLEAN("NORTHVIEW ROAD TO IH-94            ")</f>
        <v xml:space="preserve">NORTHVIEW ROAD TO IH-94            </v>
      </c>
      <c r="N362">
        <v>0.77200000000000002</v>
      </c>
      <c r="O362" t="str">
        <f t="shared" si="121"/>
        <v xml:space="preserve">          </v>
      </c>
      <c r="P36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63" spans="1:16" x14ac:dyDescent="0.25">
      <c r="A363" t="str">
        <f t="shared" si="117"/>
        <v>10</v>
      </c>
      <c r="B363" t="str">
        <f t="shared" si="122"/>
        <v>22</v>
      </c>
      <c r="C363" s="1">
        <v>45426</v>
      </c>
      <c r="D363" t="str">
        <f>CLEAN("2718-00-73")</f>
        <v>2718-00-73</v>
      </c>
      <c r="E363" t="str">
        <f>CLEAN("205  ")</f>
        <v xml:space="preserve">205  </v>
      </c>
      <c r="F363" t="str">
        <f>CLEAN("$100,000-$249,999        ")</f>
        <v xml:space="preserve">$100,000-$249,999        </v>
      </c>
      <c r="G363" t="str">
        <f t="shared" si="123"/>
        <v>LET</v>
      </c>
      <c r="H363" t="str">
        <f t="shared" si="124"/>
        <v xml:space="preserve">LET CONSTRUCTION         </v>
      </c>
      <c r="I363" t="str">
        <f>CLEAN("CONST/BRRHB                        ")</f>
        <v xml:space="preserve">CONST/BRRHB                        </v>
      </c>
      <c r="J363" t="str">
        <f>CLEAN("LOC STR")</f>
        <v>LOC STR</v>
      </c>
      <c r="K363" t="str">
        <f t="shared" si="125"/>
        <v xml:space="preserve">WAUKESHA                      </v>
      </c>
      <c r="L363" t="str">
        <f>CLEAN("C WAUKESHA, E MORELAND BLVD        ")</f>
        <v xml:space="preserve">C WAUKESHA, E MORELAND BLVD        </v>
      </c>
      <c r="M363" t="str">
        <f>CLEAN("BRIDGE OVER FOX RIVER B-67-248     ")</f>
        <v xml:space="preserve">BRIDGE OVER FOX RIVER B-67-248     </v>
      </c>
      <c r="N363">
        <v>0</v>
      </c>
      <c r="O363" t="str">
        <f>CLEAN("2718-00-78")</f>
        <v>2718-00-78</v>
      </c>
      <c r="P36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64" spans="1:16" x14ac:dyDescent="0.25">
      <c r="A364" t="str">
        <f t="shared" si="117"/>
        <v>10</v>
      </c>
      <c r="B364" t="str">
        <f t="shared" si="122"/>
        <v>22</v>
      </c>
      <c r="C364" s="1">
        <v>45426</v>
      </c>
      <c r="D364" t="str">
        <f>CLEAN("2718-00-78")</f>
        <v>2718-00-78</v>
      </c>
      <c r="E364" t="str">
        <f>CLEAN("205  ")</f>
        <v xml:space="preserve">205  </v>
      </c>
      <c r="F364" t="str">
        <f>CLEAN("$250,000 - $499,999      ")</f>
        <v xml:space="preserve">$250,000 - $499,999      </v>
      </c>
      <c r="G364" t="str">
        <f t="shared" si="123"/>
        <v>LET</v>
      </c>
      <c r="H364" t="str">
        <f t="shared" si="124"/>
        <v xml:space="preserve">LET CONSTRUCTION         </v>
      </c>
      <c r="I364" t="str">
        <f>CLEAN("CONST/BRRHB                        ")</f>
        <v xml:space="preserve">CONST/BRRHB                        </v>
      </c>
      <c r="J364" t="str">
        <f>CLEAN("LOC STR")</f>
        <v>LOC STR</v>
      </c>
      <c r="K364" t="str">
        <f t="shared" si="125"/>
        <v xml:space="preserve">WAUKESHA                      </v>
      </c>
      <c r="L364" t="str">
        <f>CLEAN("C WAUKESHA, E MORELAND BLVD        ")</f>
        <v xml:space="preserve">C WAUKESHA, E MORELAND BLVD        </v>
      </c>
      <c r="M364" t="str">
        <f>CLEAN("BRIDGE OVER FOX RIVER B67-205      ")</f>
        <v xml:space="preserve">BRIDGE OVER FOX RIVER B67-205      </v>
      </c>
      <c r="N364">
        <v>0</v>
      </c>
      <c r="O364" t="str">
        <f>CLEAN("2718-00-73")</f>
        <v>2718-00-73</v>
      </c>
      <c r="P36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65" spans="1:16" x14ac:dyDescent="0.25">
      <c r="A365" t="str">
        <f t="shared" si="117"/>
        <v>10</v>
      </c>
      <c r="B365" t="str">
        <f t="shared" si="122"/>
        <v>22</v>
      </c>
      <c r="C365" s="1">
        <v>45560</v>
      </c>
      <c r="D365" t="str">
        <f>CLEAN("2718-22-01")</f>
        <v>2718-22-01</v>
      </c>
      <c r="E365" t="str">
        <f>CLEAN("211  ")</f>
        <v xml:space="preserve">211  </v>
      </c>
      <c r="F365" t="str">
        <f>CLEAN("$0 - $99,999             ")</f>
        <v xml:space="preserve">$0 - $99,999             </v>
      </c>
      <c r="G365" t="str">
        <f>CLEAN("TST")</f>
        <v>TST</v>
      </c>
      <c r="H365" t="str">
        <f>CLEAN("NONLET CONSTR/REAL ESTATE")</f>
        <v>NONLET CONSTR/REAL ESTATE</v>
      </c>
      <c r="I365" t="str">
        <f>CLEAN("TST/TRANSIT-MARKETING              ")</f>
        <v xml:space="preserve">TST/TRANSIT-MARKETING              </v>
      </c>
      <c r="J365" t="str">
        <f>CLEAN("NON HWY")</f>
        <v>NON HWY</v>
      </c>
      <c r="K365" t="str">
        <f t="shared" si="125"/>
        <v xml:space="preserve">WAUKESHA                      </v>
      </c>
      <c r="L365" t="str">
        <f>CLEAN("WAUKESHA TRNST COMMISSION MARKETING")</f>
        <v>WAUKESHA TRNST COMMISSION MARKETING</v>
      </c>
      <c r="M365" t="str">
        <f>CLEAN("FY 2025                            ")</f>
        <v xml:space="preserve">FY 2025                            </v>
      </c>
      <c r="N365">
        <v>0</v>
      </c>
      <c r="O365" t="str">
        <f t="shared" ref="O365:O396" si="126">CLEAN("          ")</f>
        <v xml:space="preserve">          </v>
      </c>
      <c r="P365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66" spans="1:16" x14ac:dyDescent="0.25">
      <c r="A366" t="str">
        <f t="shared" si="117"/>
        <v>10</v>
      </c>
      <c r="B366" t="str">
        <f t="shared" si="122"/>
        <v>22</v>
      </c>
      <c r="C366" s="1">
        <v>45608</v>
      </c>
      <c r="D366" t="str">
        <f>CLEAN("2719-00-71")</f>
        <v>2719-00-71</v>
      </c>
      <c r="E366" t="str">
        <f>CLEAN("205  ")</f>
        <v xml:space="preserve">205  </v>
      </c>
      <c r="F366" t="str">
        <f>CLEAN("$1,000,000 - $1,999,999  ")</f>
        <v xml:space="preserve">$1,000,000 - $1,999,999  </v>
      </c>
      <c r="G366" t="str">
        <f>CLEAN("LET")</f>
        <v>LET</v>
      </c>
      <c r="H366" t="str">
        <f>CLEAN("LET CONSTRUCTION         ")</f>
        <v xml:space="preserve">LET CONSTRUCTION         </v>
      </c>
      <c r="I366" t="str">
        <f>CLEAN("CONST/BRRPL                        ")</f>
        <v xml:space="preserve">CONST/BRRPL                        </v>
      </c>
      <c r="J366" t="str">
        <f>CLEAN("LOC STR")</f>
        <v>LOC STR</v>
      </c>
      <c r="K366" t="str">
        <f t="shared" si="125"/>
        <v xml:space="preserve">WAUKESHA                      </v>
      </c>
      <c r="L366" t="str">
        <f>CLEAN("V VERNON-CENTER DR                 ")</f>
        <v xml:space="preserve">V VERNON-CENTER DR                 </v>
      </c>
      <c r="M366" t="str">
        <f>CLEAN("BRIDGE OVER FOX RIVER B67-0100     ")</f>
        <v xml:space="preserve">BRIDGE OVER FOX RIVER B67-0100     </v>
      </c>
      <c r="N366">
        <v>0</v>
      </c>
      <c r="O366" t="str">
        <f t="shared" si="126"/>
        <v xml:space="preserve">          </v>
      </c>
      <c r="P36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67" spans="1:16" x14ac:dyDescent="0.25">
      <c r="A367" t="str">
        <f t="shared" si="117"/>
        <v>10</v>
      </c>
      <c r="B367" t="str">
        <f t="shared" si="122"/>
        <v>22</v>
      </c>
      <c r="C367" s="1">
        <v>45608</v>
      </c>
      <c r="D367" t="str">
        <f>CLEAN("2720-05-71")</f>
        <v>2720-05-71</v>
      </c>
      <c r="E367" t="str">
        <f>CLEAN("205  ")</f>
        <v xml:space="preserve">205  </v>
      </c>
      <c r="F367" t="str">
        <f>CLEAN("$750,000 - $999,999      ")</f>
        <v xml:space="preserve">$750,000 - $999,999      </v>
      </c>
      <c r="G367" t="str">
        <f>CLEAN("LET")</f>
        <v>LET</v>
      </c>
      <c r="H367" t="str">
        <f>CLEAN("LET CONSTRUCTION         ")</f>
        <v xml:space="preserve">LET CONSTRUCTION         </v>
      </c>
      <c r="I367" t="str">
        <f>CLEAN("CONST/BRIDGE REPLACEMENT           ")</f>
        <v xml:space="preserve">CONST/BRIDGE REPLACEMENT           </v>
      </c>
      <c r="J367" t="str">
        <f>CLEAN("LOC STR")</f>
        <v>LOC STR</v>
      </c>
      <c r="K367" t="str">
        <f t="shared" si="125"/>
        <v xml:space="preserve">WAUKESHA                      </v>
      </c>
      <c r="L367" t="str">
        <f>CLEAN("V MENOMONEE FALLS OVERVIEW DR      ")</f>
        <v xml:space="preserve">V MENOMONEE FALLS OVERVIEW DR      </v>
      </c>
      <c r="M367" t="str">
        <f>CLEAN("BRIDGE OVER BUTLER DITCH, P-67-0774")</f>
        <v>BRIDGE OVER BUTLER DITCH, P-67-0774</v>
      </c>
      <c r="N367">
        <v>0</v>
      </c>
      <c r="O367" t="str">
        <f t="shared" si="126"/>
        <v xml:space="preserve">          </v>
      </c>
      <c r="P36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68" spans="1:16" x14ac:dyDescent="0.25">
      <c r="A368" t="str">
        <f t="shared" si="117"/>
        <v>10</v>
      </c>
      <c r="B368" t="str">
        <f t="shared" si="122"/>
        <v>22</v>
      </c>
      <c r="C368" s="1">
        <v>45608</v>
      </c>
      <c r="D368" t="str">
        <f>CLEAN("2720-07-71")</f>
        <v>2720-07-71</v>
      </c>
      <c r="E368" t="str">
        <f>CLEAN("206  ")</f>
        <v xml:space="preserve">206  </v>
      </c>
      <c r="F368" t="str">
        <f>CLEAN("$7,000,000 - $7,999,999  ")</f>
        <v xml:space="preserve">$7,000,000 - $7,999,999  </v>
      </c>
      <c r="G368" t="str">
        <f>CLEAN("LET")</f>
        <v>LET</v>
      </c>
      <c r="H368" t="str">
        <f>CLEAN("LET CONSTRUCTION         ")</f>
        <v xml:space="preserve">LET CONSTRUCTION         </v>
      </c>
      <c r="I368" t="str">
        <f>CLEAN("CONST/RECST                        ")</f>
        <v xml:space="preserve">CONST/RECST                        </v>
      </c>
      <c r="J368" t="str">
        <f>CLEAN("LOC STR")</f>
        <v>LOC STR</v>
      </c>
      <c r="K368" t="str">
        <f t="shared" si="125"/>
        <v xml:space="preserve">WAUKESHA                      </v>
      </c>
      <c r="L368" t="str">
        <f>CLEAN("V MENOMONEE FALLS MENOMONEE AVE    ")</f>
        <v xml:space="preserve">V MENOMONEE FALLS MENOMONEE AVE    </v>
      </c>
      <c r="M368" t="str">
        <f>CLEAN("TOWN HALL ROAD TO STH 175          ")</f>
        <v xml:space="preserve">TOWN HALL ROAD TO STH 175          </v>
      </c>
      <c r="N368">
        <v>1.413</v>
      </c>
      <c r="O368" t="str">
        <f t="shared" si="126"/>
        <v xml:space="preserve">          </v>
      </c>
      <c r="P36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69" spans="1:16" x14ac:dyDescent="0.25">
      <c r="A369" t="str">
        <f t="shared" si="117"/>
        <v>10</v>
      </c>
      <c r="B369" t="str">
        <f t="shared" si="122"/>
        <v>22</v>
      </c>
      <c r="C369" s="1">
        <v>45363</v>
      </c>
      <c r="D369" t="str">
        <f>CLEAN("2721-00-76")</f>
        <v>2721-00-76</v>
      </c>
      <c r="E369" t="str">
        <f>CLEAN("205  ")</f>
        <v xml:space="preserve">205  </v>
      </c>
      <c r="F369" t="str">
        <f>CLEAN("$1,000,000 - $1,999,999  ")</f>
        <v xml:space="preserve">$1,000,000 - $1,999,999  </v>
      </c>
      <c r="G369" t="str">
        <f>CLEAN("LET")</f>
        <v>LET</v>
      </c>
      <c r="H369" t="str">
        <f>CLEAN("LET CONSTRUCTION         ")</f>
        <v xml:space="preserve">LET CONSTRUCTION         </v>
      </c>
      <c r="I369" t="str">
        <f>CLEAN("CONST/BRRPL                        ")</f>
        <v xml:space="preserve">CONST/BRRPL                        </v>
      </c>
      <c r="J369" t="str">
        <f>CLEAN("LOC STR")</f>
        <v>LOC STR</v>
      </c>
      <c r="K369" t="str">
        <f t="shared" si="125"/>
        <v xml:space="preserve">WAUKESHA                      </v>
      </c>
      <c r="L369" t="str">
        <f>CLEAN("C BROOKFIELD - ENTERPRISE AVE      ")</f>
        <v xml:space="preserve">C BROOKFIELD - ENTERPRISE AVE      </v>
      </c>
      <c r="M369" t="str">
        <f>CLEAN("BRIDGE OVER POPLAR CREEK P67-0764  ")</f>
        <v xml:space="preserve">BRIDGE OVER POPLAR CREEK P67-0764  </v>
      </c>
      <c r="N369">
        <v>3.6999999999999998E-2</v>
      </c>
      <c r="O369" t="str">
        <f t="shared" si="126"/>
        <v xml:space="preserve">          </v>
      </c>
      <c r="P36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70" spans="1:16" x14ac:dyDescent="0.25">
      <c r="A370" t="str">
        <f t="shared" si="117"/>
        <v>10</v>
      </c>
      <c r="B370" t="str">
        <f t="shared" si="122"/>
        <v>22</v>
      </c>
      <c r="C370" s="1">
        <v>45407</v>
      </c>
      <c r="D370" t="str">
        <f>CLEAN("2721-03-82")</f>
        <v>2721-03-82</v>
      </c>
      <c r="E370" t="str">
        <f>CLEAN("206  ")</f>
        <v xml:space="preserve">206  </v>
      </c>
      <c r="F370" t="str">
        <f>CLEAN("$250,000 - $499,999      ")</f>
        <v xml:space="preserve">$250,000 - $499,999      </v>
      </c>
      <c r="G370" t="str">
        <f>CLEAN("MIS")</f>
        <v>MIS</v>
      </c>
      <c r="H370" t="str">
        <f>CLEAN("NONLET CONSTR/REAL ESTATE")</f>
        <v>NONLET CONSTR/REAL ESTATE</v>
      </c>
      <c r="I370" t="str">
        <f>CLEAN("CONST/PROCUREMENT                  ")</f>
        <v xml:space="preserve">CONST/PROCUREMENT                  </v>
      </c>
      <c r="J370" t="str">
        <f>CLEAN("VAR HWY")</f>
        <v>VAR HWY</v>
      </c>
      <c r="K370" t="str">
        <f t="shared" si="125"/>
        <v xml:space="preserve">WAUKESHA                      </v>
      </c>
      <c r="L370" t="str">
        <f>CLEAN("C BROOKFIELD LIGHTING REPLACEMENT  ")</f>
        <v xml:space="preserve">C BROOKFIELD LIGHTING REPLACEMENT  </v>
      </c>
      <c r="M370" t="str">
        <f>CLEAN("BLUEMOUND, MOORLAND, GREENFIELD    ")</f>
        <v xml:space="preserve">BLUEMOUND, MOORLAND, GREENFIELD    </v>
      </c>
      <c r="N370">
        <v>0</v>
      </c>
      <c r="O370" t="str">
        <f t="shared" si="126"/>
        <v xml:space="preserve">          </v>
      </c>
      <c r="P370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71" spans="1:16" x14ac:dyDescent="0.25">
      <c r="A371" t="str">
        <f t="shared" si="117"/>
        <v>10</v>
      </c>
      <c r="B371" t="str">
        <f t="shared" si="122"/>
        <v>22</v>
      </c>
      <c r="C371" s="1">
        <v>45636</v>
      </c>
      <c r="D371" t="str">
        <f>CLEAN("2722-08-71")</f>
        <v>2722-08-71</v>
      </c>
      <c r="E371" t="str">
        <f>CLEAN("206  ")</f>
        <v xml:space="preserve">206  </v>
      </c>
      <c r="F371" t="str">
        <f>CLEAN("$8,000,000 - $8,999,999  ")</f>
        <v xml:space="preserve">$8,000,000 - $8,999,999  </v>
      </c>
      <c r="G371" t="str">
        <f>CLEAN("LET")</f>
        <v>LET</v>
      </c>
      <c r="H371" t="str">
        <f>CLEAN("LET CONSTRUCTION         ")</f>
        <v xml:space="preserve">LET CONSTRUCTION         </v>
      </c>
      <c r="I371" t="str">
        <f>CLEAN("CONST/PAVEMENT REPLACEMENT         ")</f>
        <v xml:space="preserve">CONST/PAVEMENT REPLACEMENT         </v>
      </c>
      <c r="J371" t="str">
        <f>CLEAN("CTH O  ")</f>
        <v xml:space="preserve">CTH O  </v>
      </c>
      <c r="K371" t="str">
        <f t="shared" si="125"/>
        <v xml:space="preserve">WAUKESHA                      </v>
      </c>
      <c r="L371" t="str">
        <f>CLEAN("C NEW BERLIN MOORLAND ROAD         ")</f>
        <v xml:space="preserve">C NEW BERLIN MOORLAND ROAD         </v>
      </c>
      <c r="M371" t="str">
        <f>CLEAN("CTH ES TO CTH D                    ")</f>
        <v xml:space="preserve">CTH ES TO CTH D                    </v>
      </c>
      <c r="N371">
        <v>1.3260000000000001</v>
      </c>
      <c r="O371" t="str">
        <f t="shared" si="126"/>
        <v xml:space="preserve">          </v>
      </c>
      <c r="P37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72" spans="1:16" x14ac:dyDescent="0.25">
      <c r="A372" t="str">
        <f t="shared" si="117"/>
        <v>10</v>
      </c>
      <c r="B372" t="str">
        <f t="shared" si="122"/>
        <v>22</v>
      </c>
      <c r="C372" s="1">
        <v>45285</v>
      </c>
      <c r="D372" t="str">
        <f>CLEAN("2729-07-20")</f>
        <v>2729-07-20</v>
      </c>
      <c r="E372" t="str">
        <f>CLEAN("303  ")</f>
        <v xml:space="preserve">303  </v>
      </c>
      <c r="F372" t="str">
        <f>CLEAN("$0 - $99,999             ")</f>
        <v xml:space="preserve">$0 - $99,999             </v>
      </c>
      <c r="G372" t="str">
        <f>CLEAN("R/E")</f>
        <v>R/E</v>
      </c>
      <c r="H372" t="str">
        <f>CLEAN("NONLET CONSTR/REAL ESTATE")</f>
        <v>NONLET CONSTR/REAL ESTATE</v>
      </c>
      <c r="I372" t="str">
        <f>CLEAN("RE/RSRF20                          ")</f>
        <v xml:space="preserve">RE/RSRF20                          </v>
      </c>
      <c r="J372" t="str">
        <f>CLEAN("STH 181")</f>
        <v>STH 181</v>
      </c>
      <c r="K372" t="str">
        <f>CLEAN("OZAUKEE                       ")</f>
        <v xml:space="preserve">OZAUKEE                       </v>
      </c>
      <c r="L372" t="str">
        <f>CLEAN("WEST ALLIS - CEDARBURG             ")</f>
        <v xml:space="preserve">WEST ALLIS - CEDARBURG             </v>
      </c>
      <c r="M372" t="str">
        <f>CLEAN("COUNTY LINE ROAD TO MEQUON ROAD    ")</f>
        <v xml:space="preserve">COUNTY LINE ROAD TO MEQUON ROAD    </v>
      </c>
      <c r="N372">
        <v>2.2090000000000001</v>
      </c>
      <c r="O372" t="str">
        <f t="shared" si="126"/>
        <v xml:space="preserve">          </v>
      </c>
      <c r="P37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73" spans="1:16" x14ac:dyDescent="0.25">
      <c r="A373" t="str">
        <f t="shared" si="117"/>
        <v>10</v>
      </c>
      <c r="B373" t="str">
        <f t="shared" si="122"/>
        <v>22</v>
      </c>
      <c r="C373" s="1">
        <v>45363</v>
      </c>
      <c r="D373" t="str">
        <f>CLEAN("2740-02-70")</f>
        <v>2740-02-70</v>
      </c>
      <c r="E373" t="str">
        <f>CLEAN("303  ")</f>
        <v xml:space="preserve">303  </v>
      </c>
      <c r="F373" t="str">
        <f>CLEAN("$1,000,000 - $1,999,999  ")</f>
        <v xml:space="preserve">$1,000,000 - $1,999,999  </v>
      </c>
      <c r="G373" t="str">
        <f>CLEAN("LET")</f>
        <v>LET</v>
      </c>
      <c r="H373" t="str">
        <f>CLEAN("LET CONSTRUCTION         ")</f>
        <v xml:space="preserve">LET CONSTRUCTION         </v>
      </c>
      <c r="I373" t="str">
        <f>CLEAN("CONST/RECONSTRUCT                  ")</f>
        <v xml:space="preserve">CONST/RECONSTRUCT                  </v>
      </c>
      <c r="J373" t="str">
        <f>CLEAN("STH 167")</f>
        <v>STH 167</v>
      </c>
      <c r="K373" t="str">
        <f>CLEAN("WASHINGTON                    ")</f>
        <v xml:space="preserve">WASHINGTON                    </v>
      </c>
      <c r="L373" t="str">
        <f>CLEAN("V GERMANTOWN, LANNON ROAD          ")</f>
        <v xml:space="preserve">V GERMANTOWN, LANNON ROAD          </v>
      </c>
      <c r="M373" t="str">
        <f>CLEAN("INTERSECTION WITH MAPLE ROAD       ")</f>
        <v xml:space="preserve">INTERSECTION WITH MAPLE ROAD       </v>
      </c>
      <c r="N373">
        <v>0.216</v>
      </c>
      <c r="O373" t="str">
        <f t="shared" si="126"/>
        <v xml:space="preserve">          </v>
      </c>
      <c r="P37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74" spans="1:16" x14ac:dyDescent="0.25">
      <c r="A374" t="str">
        <f t="shared" si="117"/>
        <v>10</v>
      </c>
      <c r="B374" t="str">
        <f t="shared" si="122"/>
        <v>22</v>
      </c>
      <c r="C374" s="1">
        <v>45608</v>
      </c>
      <c r="D374" t="str">
        <f>CLEAN("2753-02-73")</f>
        <v>2753-02-73</v>
      </c>
      <c r="E374" t="str">
        <f>CLEAN("205  ")</f>
        <v xml:space="preserve">205  </v>
      </c>
      <c r="F374" t="str">
        <f>CLEAN("$1,000,000 - $1,999,999  ")</f>
        <v xml:space="preserve">$1,000,000 - $1,999,999  </v>
      </c>
      <c r="G374" t="str">
        <f>CLEAN("LET")</f>
        <v>LET</v>
      </c>
      <c r="H374" t="str">
        <f>CLEAN("LET CONSTRUCTION         ")</f>
        <v xml:space="preserve">LET CONSTRUCTION         </v>
      </c>
      <c r="I374" t="str">
        <f>CLEAN("CONST/BRRHB                        ")</f>
        <v xml:space="preserve">CONST/BRRHB                        </v>
      </c>
      <c r="J374" t="str">
        <f>CLEAN("CTH VV ")</f>
        <v xml:space="preserve">CTH VV </v>
      </c>
      <c r="K374" t="str">
        <f>CLEAN("WAUKESHA                      ")</f>
        <v xml:space="preserve">WAUKESHA                      </v>
      </c>
      <c r="L374" t="str">
        <f>CLEAN("V BUTLER/SILVER SPRING DR          ")</f>
        <v xml:space="preserve">V BUTLER/SILVER SPRING DR          </v>
      </c>
      <c r="M374" t="str">
        <f>CLEAN("BRIDGE OVER MENOMONEE RIVER B67-085")</f>
        <v>BRIDGE OVER MENOMONEE RIVER B67-085</v>
      </c>
      <c r="N374">
        <v>0</v>
      </c>
      <c r="O374" t="str">
        <f t="shared" si="126"/>
        <v xml:space="preserve">          </v>
      </c>
      <c r="P37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75" spans="1:16" x14ac:dyDescent="0.25">
      <c r="A375" t="str">
        <f t="shared" si="117"/>
        <v>10</v>
      </c>
      <c r="B375" t="str">
        <f t="shared" si="122"/>
        <v>22</v>
      </c>
      <c r="C375" s="1">
        <v>45621</v>
      </c>
      <c r="D375" t="str">
        <f>CLEAN("2779-05-20")</f>
        <v>2779-05-20</v>
      </c>
      <c r="E375" t="str">
        <f>CLEAN("206  ")</f>
        <v xml:space="preserve">206  </v>
      </c>
      <c r="F375" t="str">
        <f>CLEAN("$250,000 - $499,999      ")</f>
        <v xml:space="preserve">$250,000 - $499,999      </v>
      </c>
      <c r="G375" t="str">
        <f>CLEAN("R/E")</f>
        <v>R/E</v>
      </c>
      <c r="H375" t="str">
        <f>CLEAN("NONLET CONSTR/REAL ESTATE")</f>
        <v>NONLET CONSTR/REAL ESTATE</v>
      </c>
      <c r="I375" t="str">
        <f>CLEAN("RE/RCND20                          ")</f>
        <v xml:space="preserve">RE/RCND20                          </v>
      </c>
      <c r="J375" t="str">
        <f>CLEAN("CTH Y  ")</f>
        <v xml:space="preserve">CTH Y  </v>
      </c>
      <c r="K375" t="str">
        <f>CLEAN("WAUKESHA                      ")</f>
        <v xml:space="preserve">WAUKESHA                      </v>
      </c>
      <c r="L375" t="str">
        <f>CLEAN("C MUSKEGO, RACINE AVENUE           ")</f>
        <v xml:space="preserve">C MUSKEGO, RACINE AVENUE           </v>
      </c>
      <c r="M375" t="str">
        <f>CLEAN("CTH L TO CTH HH                    ")</f>
        <v xml:space="preserve">CTH L TO CTH HH                    </v>
      </c>
      <c r="N375">
        <v>2.1030000000000002</v>
      </c>
      <c r="O375" t="str">
        <f t="shared" si="126"/>
        <v xml:space="preserve">          </v>
      </c>
      <c r="P37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76" spans="1:16" x14ac:dyDescent="0.25">
      <c r="A376" t="str">
        <f t="shared" ref="A376:A439" si="127">CLEAN("10")</f>
        <v>10</v>
      </c>
      <c r="B376" t="str">
        <f t="shared" si="122"/>
        <v>22</v>
      </c>
      <c r="C376" s="1">
        <v>45498</v>
      </c>
      <c r="D376" t="str">
        <f>CLEAN("2810-05-21")</f>
        <v>2810-05-21</v>
      </c>
      <c r="E376" t="str">
        <f>CLEAN("303  ")</f>
        <v xml:space="preserve">303  </v>
      </c>
      <c r="F376" t="str">
        <f>CLEAN("$0 - $99,999             ")</f>
        <v xml:space="preserve">$0 - $99,999             </v>
      </c>
      <c r="G376" t="str">
        <f>CLEAN("R/E")</f>
        <v>R/E</v>
      </c>
      <c r="H376" t="str">
        <f>CLEAN("NONLET CONSTR/REAL ESTATE")</f>
        <v>NONLET CONSTR/REAL ESTATE</v>
      </c>
      <c r="I376" t="str">
        <f>CLEAN("RE/RSRF30                          ")</f>
        <v xml:space="preserve">RE/RSRF30                          </v>
      </c>
      <c r="J376" t="str">
        <f>CLEAN("STH 164")</f>
        <v>STH 164</v>
      </c>
      <c r="K376" t="str">
        <f>CLEAN("RACINE                        ")</f>
        <v xml:space="preserve">RACINE                        </v>
      </c>
      <c r="L376" t="str">
        <f>CLEAN("WATERFORD - WAUKESHA               ")</f>
        <v xml:space="preserve">WATERFORD - WAUKESHA               </v>
      </c>
      <c r="M376" t="str">
        <f>CLEAN("STH 36 TO DENOON RD                ")</f>
        <v xml:space="preserve">STH 36 TO DENOON RD                </v>
      </c>
      <c r="N376">
        <v>5.05</v>
      </c>
      <c r="O376" t="str">
        <f t="shared" si="126"/>
        <v xml:space="preserve">          </v>
      </c>
      <c r="P37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77" spans="1:16" x14ac:dyDescent="0.25">
      <c r="A377" t="str">
        <f t="shared" si="127"/>
        <v>10</v>
      </c>
      <c r="B377" t="str">
        <f t="shared" si="122"/>
        <v>22</v>
      </c>
      <c r="C377" s="1">
        <v>45545</v>
      </c>
      <c r="D377" t="str">
        <f>CLEAN("2810-08-70")</f>
        <v>2810-08-70</v>
      </c>
      <c r="E377" t="str">
        <f>CLEAN("303  ")</f>
        <v xml:space="preserve">303  </v>
      </c>
      <c r="F377" t="str">
        <f>CLEAN("$4,000,000 - $4,999,999  ")</f>
        <v xml:space="preserve">$4,000,000 - $4,999,999  </v>
      </c>
      <c r="G377" t="str">
        <f>CLEAN("LET")</f>
        <v>LET</v>
      </c>
      <c r="H377" t="str">
        <f>CLEAN("LET CONSTRUCTION         ")</f>
        <v xml:space="preserve">LET CONSTRUCTION         </v>
      </c>
      <c r="I377" t="str">
        <f>CLEAN("CONST/PAVEMENT REPLACEMENT         ")</f>
        <v xml:space="preserve">CONST/PAVEMENT REPLACEMENT         </v>
      </c>
      <c r="J377" t="str">
        <f>CLEAN("STH 164")</f>
        <v>STH 164</v>
      </c>
      <c r="K377" t="str">
        <f>CLEAN("WAUKESHA                      ")</f>
        <v xml:space="preserve">WAUKESHA                      </v>
      </c>
      <c r="L377" t="str">
        <f>CLEAN("WATERFORD - WAUKESHA               ")</f>
        <v xml:space="preserve">WATERFORD - WAUKESHA               </v>
      </c>
      <c r="M377" t="str">
        <f>CLEAN("HENNEBERRY AVE TO DENOON RD        ")</f>
        <v xml:space="preserve">HENNEBERRY AVE TO DENOON RD        </v>
      </c>
      <c r="N377">
        <v>2.254</v>
      </c>
      <c r="O377" t="str">
        <f t="shared" si="126"/>
        <v xml:space="preserve">          </v>
      </c>
      <c r="P37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78" spans="1:16" x14ac:dyDescent="0.25">
      <c r="A378" t="str">
        <f t="shared" si="127"/>
        <v>10</v>
      </c>
      <c r="B378" t="str">
        <f t="shared" si="122"/>
        <v>22</v>
      </c>
      <c r="C378" s="1">
        <v>45545</v>
      </c>
      <c r="D378" t="str">
        <f>CLEAN("2810-08-70")</f>
        <v>2810-08-70</v>
      </c>
      <c r="E378" t="str">
        <f>CLEAN("303  ")</f>
        <v xml:space="preserve">303  </v>
      </c>
      <c r="F378" t="str">
        <f>CLEAN("$4,000,000 - $4,999,999  ")</f>
        <v xml:space="preserve">$4,000,000 - $4,999,999  </v>
      </c>
      <c r="G378" t="str">
        <f>CLEAN("LET")</f>
        <v>LET</v>
      </c>
      <c r="H378" t="str">
        <f>CLEAN("LET CONSTRUCTION         ")</f>
        <v xml:space="preserve">LET CONSTRUCTION         </v>
      </c>
      <c r="I378" t="str">
        <f>CLEAN("CONST/PAVEMENT REPLACEMENT         ")</f>
        <v xml:space="preserve">CONST/PAVEMENT REPLACEMENT         </v>
      </c>
      <c r="J378" t="str">
        <f>CLEAN("STH 164")</f>
        <v>STH 164</v>
      </c>
      <c r="K378" t="str">
        <f>CLEAN("WAUKESHA                      ")</f>
        <v xml:space="preserve">WAUKESHA                      </v>
      </c>
      <c r="L378" t="str">
        <f>CLEAN("WATERFORD - WAUKESHA               ")</f>
        <v xml:space="preserve">WATERFORD - WAUKESHA               </v>
      </c>
      <c r="M378" t="str">
        <f>CLEAN("HENNEBERRY AVE TO DENOON RD        ")</f>
        <v xml:space="preserve">HENNEBERRY AVE TO DENOON RD        </v>
      </c>
      <c r="N378">
        <v>2.254</v>
      </c>
      <c r="O378" t="str">
        <f t="shared" si="126"/>
        <v xml:space="preserve">          </v>
      </c>
      <c r="P3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79" spans="1:16" x14ac:dyDescent="0.25">
      <c r="A379" t="str">
        <f t="shared" si="127"/>
        <v>10</v>
      </c>
      <c r="B379" t="str">
        <f t="shared" si="122"/>
        <v>22</v>
      </c>
      <c r="C379" s="1">
        <v>45335</v>
      </c>
      <c r="D379" t="str">
        <f>CLEAN("2816-03-70")</f>
        <v>2816-03-70</v>
      </c>
      <c r="E379" t="str">
        <f>CLEAN("206  ")</f>
        <v xml:space="preserve">206  </v>
      </c>
      <c r="F379" t="str">
        <f>CLEAN("$1,000,000 - $1,999,999  ")</f>
        <v xml:space="preserve">$1,000,000 - $1,999,999  </v>
      </c>
      <c r="G379" t="str">
        <f>CLEAN("LET")</f>
        <v>LET</v>
      </c>
      <c r="H379" t="str">
        <f>CLEAN("LET CONSTRUCTION         ")</f>
        <v xml:space="preserve">LET CONSTRUCTION         </v>
      </c>
      <c r="I379" t="str">
        <f>CLEAN("CONST/HSIP                         ")</f>
        <v xml:space="preserve">CONST/HSIP                         </v>
      </c>
      <c r="J379" t="str">
        <f>CLEAN("CTH U  ")</f>
        <v xml:space="preserve">CTH U  </v>
      </c>
      <c r="K379" t="str">
        <f>CLEAN("RACINE                        ")</f>
        <v xml:space="preserve">RACINE                        </v>
      </c>
      <c r="L379" t="str">
        <f>CLEAN("V RAYMOND CTH U                    ")</f>
        <v xml:space="preserve">V RAYMOND CTH U                    </v>
      </c>
      <c r="M379" t="str">
        <f>CLEAN("INTERSECTION WITH 7 MILE ROAD      ")</f>
        <v xml:space="preserve">INTERSECTION WITH 7 MILE ROAD      </v>
      </c>
      <c r="N379">
        <v>0.19800000000000001</v>
      </c>
      <c r="O379" t="str">
        <f t="shared" si="126"/>
        <v xml:space="preserve">          </v>
      </c>
      <c r="P37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80" spans="1:16" x14ac:dyDescent="0.25">
      <c r="A380" t="str">
        <f t="shared" si="127"/>
        <v>10</v>
      </c>
      <c r="B380" t="str">
        <f t="shared" si="122"/>
        <v>22</v>
      </c>
      <c r="C380" s="1">
        <v>45437</v>
      </c>
      <c r="D380" t="str">
        <f>CLEAN("2966-00-91")</f>
        <v>2966-00-91</v>
      </c>
      <c r="E380" t="str">
        <f>CLEAN("211  ")</f>
        <v xml:space="preserve">211  </v>
      </c>
      <c r="F380" t="str">
        <f>CLEAN("$0 - $99,999             ")</f>
        <v xml:space="preserve">$0 - $99,999             </v>
      </c>
      <c r="G380" t="str">
        <f>CLEAN("MIS")</f>
        <v>MIS</v>
      </c>
      <c r="H380" t="str">
        <f>CLEAN("NONLET CONSTR/REAL ESTATE")</f>
        <v>NONLET CONSTR/REAL ESTATE</v>
      </c>
      <c r="I380" t="str">
        <f>CLEAN("MIS/PROCUREMENT                    ")</f>
        <v xml:space="preserve">MIS/PROCUREMENT                    </v>
      </c>
      <c r="J380" t="str">
        <f>CLEAN("NON HWY")</f>
        <v>NON HWY</v>
      </c>
      <c r="K380" t="str">
        <f t="shared" ref="K380:K409" si="128">CLEAN("MILWAUKEE                     ")</f>
        <v xml:space="preserve">MILWAUKEE                     </v>
      </c>
      <c r="L380" t="str">
        <f>CLEAN("BAYSIDE LOWER EMISSIONS INITIATIVE ")</f>
        <v xml:space="preserve">BAYSIDE LOWER EMISSIONS INITIATIVE </v>
      </c>
      <c r="M380" t="str">
        <f>CLEAN("VILLAGE WIDE                       ")</f>
        <v xml:space="preserve">VILLAGE WIDE                       </v>
      </c>
      <c r="N380">
        <v>0</v>
      </c>
      <c r="O380" t="str">
        <f t="shared" si="126"/>
        <v xml:space="preserve">          </v>
      </c>
      <c r="P380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81" spans="1:16" x14ac:dyDescent="0.25">
      <c r="A381" t="str">
        <f t="shared" si="127"/>
        <v>10</v>
      </c>
      <c r="B381" t="str">
        <f t="shared" si="122"/>
        <v>22</v>
      </c>
      <c r="C381" s="1">
        <v>45498</v>
      </c>
      <c r="D381" t="str">
        <f>CLEAN("2967-02-72")</f>
        <v>2967-02-72</v>
      </c>
      <c r="E381" t="str">
        <f>CLEAN("206  ")</f>
        <v xml:space="preserve">206  </v>
      </c>
      <c r="F381" t="str">
        <f>CLEAN("$4,000,000 - $4,999,999  ")</f>
        <v xml:space="preserve">$4,000,000 - $4,999,999  </v>
      </c>
      <c r="G381" t="str">
        <f>CLEAN("TST")</f>
        <v>TST</v>
      </c>
      <c r="H381" t="str">
        <f>CLEAN("NONLET CONSTR/REAL ESTATE")</f>
        <v>NONLET CONSTR/REAL ESTATE</v>
      </c>
      <c r="I381" t="str">
        <f>CLEAN("TST/TRANSIT                        ")</f>
        <v xml:space="preserve">TST/TRANSIT                        </v>
      </c>
      <c r="J381" t="str">
        <f>CLEAN("NON HWY")</f>
        <v>NON HWY</v>
      </c>
      <c r="K381" t="str">
        <f t="shared" si="128"/>
        <v xml:space="preserve">MILWAUKEE                     </v>
      </c>
      <c r="L381" t="str">
        <f>CLEAN("TRANSIT SYSTEM BUS REPLACEMENT     ")</f>
        <v xml:space="preserve">TRANSIT SYSTEM BUS REPLACEMENT     </v>
      </c>
      <c r="M381" t="str">
        <f>CLEAN("15 MILWAUKEE COUNTY BUSES PHASE 2  ")</f>
        <v xml:space="preserve">15 MILWAUKEE COUNTY BUSES PHASE 2  </v>
      </c>
      <c r="N381">
        <v>0</v>
      </c>
      <c r="O381" t="str">
        <f t="shared" si="126"/>
        <v xml:space="preserve">          </v>
      </c>
      <c r="P38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82" spans="1:16" x14ac:dyDescent="0.25">
      <c r="A382" t="str">
        <f t="shared" si="127"/>
        <v>10</v>
      </c>
      <c r="B382" t="str">
        <f t="shared" si="122"/>
        <v>22</v>
      </c>
      <c r="C382" s="1">
        <v>45376</v>
      </c>
      <c r="D382" t="str">
        <f>CLEAN("2967-11-71")</f>
        <v>2967-11-71</v>
      </c>
      <c r="E382" t="str">
        <f>CLEAN("211  ")</f>
        <v xml:space="preserve">211  </v>
      </c>
      <c r="F382" t="str">
        <f>CLEAN("$1,000,000 - $1,999,999  ")</f>
        <v xml:space="preserve">$1,000,000 - $1,999,999  </v>
      </c>
      <c r="G382" t="str">
        <f>CLEAN("LLC")</f>
        <v>LLC</v>
      </c>
      <c r="H382" t="str">
        <f>CLEAN("NONLET CONSTR/REAL ESTATE")</f>
        <v>NONLET CONSTR/REAL ESTATE</v>
      </c>
      <c r="I382" t="str">
        <f>CLEAN("CONST/PED BIKE FACILITIES          ")</f>
        <v xml:space="preserve">CONST/PED BIKE FACILITIES          </v>
      </c>
      <c r="J382" t="str">
        <f>CLEAN("NON HWY")</f>
        <v>NON HWY</v>
      </c>
      <c r="K382" t="str">
        <f t="shared" si="128"/>
        <v xml:space="preserve">MILWAUKEE                     </v>
      </c>
      <c r="L382" t="str">
        <f>CLEAN("OAK LEAF TR CONNECTIVITY-BENDER PRK")</f>
        <v>OAK LEAF TR CONNECTIVITY-BENDER PRK</v>
      </c>
      <c r="M382" t="str">
        <f>CLEAN("BENDER PARK                        ")</f>
        <v xml:space="preserve">BENDER PARK                        </v>
      </c>
      <c r="N382">
        <v>0</v>
      </c>
      <c r="O382" t="str">
        <f t="shared" si="126"/>
        <v xml:space="preserve">          </v>
      </c>
      <c r="P382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83" spans="1:16" x14ac:dyDescent="0.25">
      <c r="A383" t="str">
        <f t="shared" si="127"/>
        <v>10</v>
      </c>
      <c r="B383" t="str">
        <f t="shared" si="122"/>
        <v>22</v>
      </c>
      <c r="C383" s="1">
        <v>45376</v>
      </c>
      <c r="D383" t="str">
        <f>CLEAN("2967-11-72")</f>
        <v>2967-11-72</v>
      </c>
      <c r="E383" t="str">
        <f>CLEAN("211  ")</f>
        <v xml:space="preserve">211  </v>
      </c>
      <c r="F383" t="str">
        <f>CLEAN("$2,000,000 - $2,999,999  ")</f>
        <v xml:space="preserve">$2,000,000 - $2,999,999  </v>
      </c>
      <c r="G383" t="str">
        <f>CLEAN("LLC")</f>
        <v>LLC</v>
      </c>
      <c r="H383" t="str">
        <f>CLEAN("NONLET CONSTR/REAL ESTATE")</f>
        <v>NONLET CONSTR/REAL ESTATE</v>
      </c>
      <c r="I383" t="str">
        <f>CLEAN("CONST/PED BIKE FACILITIES          ")</f>
        <v xml:space="preserve">CONST/PED BIKE FACILITIES          </v>
      </c>
      <c r="J383" t="str">
        <f>CLEAN("NON HWY")</f>
        <v>NON HWY</v>
      </c>
      <c r="K383" t="str">
        <f t="shared" si="128"/>
        <v xml:space="preserve">MILWAUKEE                     </v>
      </c>
      <c r="L383" t="str">
        <f>CLEAN("OAK LEAF TRAIL EXTENSION           ")</f>
        <v xml:space="preserve">OAK LEAF TRAIL EXTENSION           </v>
      </c>
      <c r="M383" t="str">
        <f>CLEAN("KOHL PARK CONNECTION               ")</f>
        <v xml:space="preserve">KOHL PARK CONNECTION               </v>
      </c>
      <c r="N383">
        <v>0</v>
      </c>
      <c r="O383" t="str">
        <f t="shared" si="126"/>
        <v xml:space="preserve">          </v>
      </c>
      <c r="P383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84" spans="1:16" x14ac:dyDescent="0.25">
      <c r="A384" t="str">
        <f t="shared" si="127"/>
        <v>10</v>
      </c>
      <c r="B384" t="str">
        <f t="shared" si="122"/>
        <v>22</v>
      </c>
      <c r="C384" s="1">
        <v>45335</v>
      </c>
      <c r="D384" t="str">
        <f>CLEAN("2967-17-71")</f>
        <v>2967-17-71</v>
      </c>
      <c r="E384" t="str">
        <f>CLEAN("303  ")</f>
        <v xml:space="preserve">303  </v>
      </c>
      <c r="F384" t="str">
        <f>CLEAN("$3,000,000 - $3,999,999  ")</f>
        <v xml:space="preserve">$3,000,000 - $3,999,999  </v>
      </c>
      <c r="G384" t="str">
        <f>CLEAN("LET")</f>
        <v>LET</v>
      </c>
      <c r="H384" t="str">
        <f>CLEAN("LET CONSTRUCTION         ")</f>
        <v xml:space="preserve">LET CONSTRUCTION         </v>
      </c>
      <c r="I384" t="str">
        <f>CLEAN("CONST/BRIDGE REHAB                 ")</f>
        <v xml:space="preserve">CONST/BRIDGE REHAB                 </v>
      </c>
      <c r="J384" t="str">
        <f>CLEAN("STH 181")</f>
        <v>STH 181</v>
      </c>
      <c r="K384" t="str">
        <f t="shared" si="128"/>
        <v xml:space="preserve">MILWAUKEE                     </v>
      </c>
      <c r="L384" t="str">
        <f>CLEAN("C MILWAUKEE N 76TH ST              ")</f>
        <v xml:space="preserve">C MILWAUKEE N 76TH ST              </v>
      </c>
      <c r="M384" t="str">
        <f>CLEAN("BRIDGE OVER UPC RR B40-380/1       ")</f>
        <v xml:space="preserve">BRIDGE OVER UPC RR B40-380/1       </v>
      </c>
      <c r="N384">
        <v>0.26200000000000001</v>
      </c>
      <c r="O384" t="str">
        <f t="shared" si="126"/>
        <v xml:space="preserve">          </v>
      </c>
      <c r="P38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85" spans="1:16" x14ac:dyDescent="0.25">
      <c r="A385" t="str">
        <f t="shared" si="127"/>
        <v>10</v>
      </c>
      <c r="B385" t="str">
        <f t="shared" si="122"/>
        <v>22</v>
      </c>
      <c r="C385" s="1">
        <v>45468</v>
      </c>
      <c r="D385" t="str">
        <f>CLEAN("2967-18-71")</f>
        <v>2967-18-71</v>
      </c>
      <c r="E385" t="str">
        <f>CLEAN("206  ")</f>
        <v xml:space="preserve">206  </v>
      </c>
      <c r="F385" t="str">
        <f>CLEAN("$0 - $99,999             ")</f>
        <v xml:space="preserve">$0 - $99,999             </v>
      </c>
      <c r="G385" t="str">
        <f>CLEAN("LFA")</f>
        <v>LFA</v>
      </c>
      <c r="H385" t="str">
        <f t="shared" ref="H385:H390" si="129">CLEAN("NONLET CONSTR/REAL ESTATE")</f>
        <v>NONLET CONSTR/REAL ESTATE</v>
      </c>
      <c r="I385" t="str">
        <f>CLEAN("CONST/SIGNAL IMPROVEMENTS          ")</f>
        <v xml:space="preserve">CONST/SIGNAL IMPROVEMENTS          </v>
      </c>
      <c r="J385" t="str">
        <f>CLEAN("VAR HWY")</f>
        <v>VAR HWY</v>
      </c>
      <c r="K385" t="str">
        <f t="shared" si="128"/>
        <v xml:space="preserve">MILWAUKEE                     </v>
      </c>
      <c r="L385" t="str">
        <f>CLEAN("SIGNAL MONITORING IMPROVEMENTS     ")</f>
        <v xml:space="preserve">SIGNAL MONITORING IMPROVEMENTS     </v>
      </c>
      <c r="M385" t="str">
        <f>CLEAN("COUNTYWIDE PER PROJECT APPLICATION ")</f>
        <v xml:space="preserve">COUNTYWIDE PER PROJECT APPLICATION </v>
      </c>
      <c r="N385">
        <v>0</v>
      </c>
      <c r="O385" t="str">
        <f t="shared" si="126"/>
        <v xml:space="preserve">          </v>
      </c>
      <c r="P385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86" spans="1:16" x14ac:dyDescent="0.25">
      <c r="A386" t="str">
        <f t="shared" si="127"/>
        <v>10</v>
      </c>
      <c r="B386" t="str">
        <f t="shared" si="122"/>
        <v>22</v>
      </c>
      <c r="C386" s="1">
        <v>45468</v>
      </c>
      <c r="D386" t="str">
        <f>CLEAN("2967-18-72")</f>
        <v>2967-18-72</v>
      </c>
      <c r="E386" t="str">
        <f>CLEAN("206  ")</f>
        <v xml:space="preserve">206  </v>
      </c>
      <c r="F386" t="str">
        <f>CLEAN("$0 - $99,999             ")</f>
        <v xml:space="preserve">$0 - $99,999             </v>
      </c>
      <c r="G386" t="str">
        <f>CLEAN("LFA")</f>
        <v>LFA</v>
      </c>
      <c r="H386" t="str">
        <f t="shared" si="129"/>
        <v>NONLET CONSTR/REAL ESTATE</v>
      </c>
      <c r="I386" t="str">
        <f>CLEAN("CONST/SIGNAL IMPROVEMENT           ")</f>
        <v xml:space="preserve">CONST/SIGNAL IMPROVEMENT           </v>
      </c>
      <c r="J386" t="str">
        <f>CLEAN("CTH NN ")</f>
        <v xml:space="preserve">CTH NN </v>
      </c>
      <c r="K386" t="str">
        <f t="shared" si="128"/>
        <v xml:space="preserve">MILWAUKEE                     </v>
      </c>
      <c r="L386" t="str">
        <f>CLEAN("C WEST ALLIS, W OKLAHOMA AVE       ")</f>
        <v xml:space="preserve">C WEST ALLIS, W OKLAHOMA AVE       </v>
      </c>
      <c r="M386" t="str">
        <f>CLEAN("INTERSECTION WITH S WOLLMER RD     ")</f>
        <v xml:space="preserve">INTERSECTION WITH S WOLLMER RD     </v>
      </c>
      <c r="N386">
        <v>1.2E-2</v>
      </c>
      <c r="O386" t="str">
        <f t="shared" si="126"/>
        <v xml:space="preserve">          </v>
      </c>
      <c r="P386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87" spans="1:16" x14ac:dyDescent="0.25">
      <c r="A387" t="str">
        <f t="shared" si="127"/>
        <v>10</v>
      </c>
      <c r="B387" t="str">
        <f t="shared" si="122"/>
        <v>22</v>
      </c>
      <c r="C387" s="1">
        <v>45468</v>
      </c>
      <c r="D387" t="str">
        <f>CLEAN("2967-18-81")</f>
        <v>2967-18-81</v>
      </c>
      <c r="E387" t="str">
        <f>CLEAN("206  ")</f>
        <v xml:space="preserve">206  </v>
      </c>
      <c r="F387" t="str">
        <f>CLEAN("$250,000 - $499,999      ")</f>
        <v xml:space="preserve">$250,000 - $499,999      </v>
      </c>
      <c r="G387" t="str">
        <f>CLEAN("MIS")</f>
        <v>MIS</v>
      </c>
      <c r="H387" t="str">
        <f t="shared" si="129"/>
        <v>NONLET CONSTR/REAL ESTATE</v>
      </c>
      <c r="I387" t="str">
        <f>CLEAN("CONST/PROCUREMENT                  ")</f>
        <v xml:space="preserve">CONST/PROCUREMENT                  </v>
      </c>
      <c r="J387" t="str">
        <f>CLEAN("VAR HWY")</f>
        <v>VAR HWY</v>
      </c>
      <c r="K387" t="str">
        <f t="shared" si="128"/>
        <v xml:space="preserve">MILWAUKEE                     </v>
      </c>
      <c r="L387" t="str">
        <f>CLEAN("SIGNAL MONITORING IMPROVEMENTS     ")</f>
        <v xml:space="preserve">SIGNAL MONITORING IMPROVEMENTS     </v>
      </c>
      <c r="M387" t="str">
        <f>CLEAN("COUNTYWIDE PER PROJECT APPLICATION ")</f>
        <v xml:space="preserve">COUNTYWIDE PER PROJECT APPLICATION </v>
      </c>
      <c r="N387">
        <v>0</v>
      </c>
      <c r="O387" t="str">
        <f t="shared" si="126"/>
        <v xml:space="preserve">          </v>
      </c>
      <c r="P38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88" spans="1:16" x14ac:dyDescent="0.25">
      <c r="A388" t="str">
        <f t="shared" si="127"/>
        <v>10</v>
      </c>
      <c r="B388" t="str">
        <f t="shared" si="122"/>
        <v>22</v>
      </c>
      <c r="C388" s="1">
        <v>45468</v>
      </c>
      <c r="D388" t="str">
        <f>CLEAN("2967-18-82")</f>
        <v>2967-18-82</v>
      </c>
      <c r="E388" t="str">
        <f>CLEAN("206  ")</f>
        <v xml:space="preserve">206  </v>
      </c>
      <c r="F388" t="str">
        <f>CLEAN("$0 - $99,999             ")</f>
        <v xml:space="preserve">$0 - $99,999             </v>
      </c>
      <c r="G388" t="str">
        <f>CLEAN("MIS")</f>
        <v>MIS</v>
      </c>
      <c r="H388" t="str">
        <f t="shared" si="129"/>
        <v>NONLET CONSTR/REAL ESTATE</v>
      </c>
      <c r="I388" t="str">
        <f>CLEAN("CONST/PROCUREMENT                  ")</f>
        <v xml:space="preserve">CONST/PROCUREMENT                  </v>
      </c>
      <c r="J388" t="str">
        <f>CLEAN("CTH NN ")</f>
        <v xml:space="preserve">CTH NN </v>
      </c>
      <c r="K388" t="str">
        <f t="shared" si="128"/>
        <v xml:space="preserve">MILWAUKEE                     </v>
      </c>
      <c r="L388" t="str">
        <f>CLEAN("C WEST ALLIS, W OKLAHOMA AVE       ")</f>
        <v xml:space="preserve">C WEST ALLIS, W OKLAHOMA AVE       </v>
      </c>
      <c r="M388" t="str">
        <f>CLEAN("INTERSECTION WITH S WOLLMER RD     ")</f>
        <v xml:space="preserve">INTERSECTION WITH S WOLLMER RD     </v>
      </c>
      <c r="N388">
        <v>1.2E-2</v>
      </c>
      <c r="O388" t="str">
        <f t="shared" si="126"/>
        <v xml:space="preserve">          </v>
      </c>
      <c r="P388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89" spans="1:16" x14ac:dyDescent="0.25">
      <c r="A389" t="str">
        <f t="shared" si="127"/>
        <v>10</v>
      </c>
      <c r="B389" t="str">
        <f t="shared" si="122"/>
        <v>22</v>
      </c>
      <c r="C389" s="1">
        <v>45316</v>
      </c>
      <c r="D389" t="str">
        <f>CLEAN("2976-00-72")</f>
        <v>2976-00-72</v>
      </c>
      <c r="E389" t="str">
        <f>CLEAN("211  ")</f>
        <v xml:space="preserve">211  </v>
      </c>
      <c r="F389" t="str">
        <f>CLEAN("$1,000,000 - $1,999,999  ")</f>
        <v xml:space="preserve">$1,000,000 - $1,999,999  </v>
      </c>
      <c r="G389" t="str">
        <f>CLEAN("LLC")</f>
        <v>LLC</v>
      </c>
      <c r="H389" t="str">
        <f t="shared" si="129"/>
        <v>NONLET CONSTR/REAL ESTATE</v>
      </c>
      <c r="I389" t="str">
        <f>CLEAN("CONST/BIKE/PED TRAIL               ")</f>
        <v xml:space="preserve">CONST/BIKE/PED TRAIL               </v>
      </c>
      <c r="J389" t="str">
        <f>CLEAN("NON HWY")</f>
        <v>NON HWY</v>
      </c>
      <c r="K389" t="str">
        <f t="shared" si="128"/>
        <v xml:space="preserve">MILWAUKEE                     </v>
      </c>
      <c r="L389" t="str">
        <f>CLEAN("C FRANKLIN, 116TH ST TRAIL         ")</f>
        <v xml:space="preserve">C FRANKLIN, 116TH ST TRAIL         </v>
      </c>
      <c r="M389" t="str">
        <f>CLEAN("W RYAN RD TO W MAYERS DR           ")</f>
        <v xml:space="preserve">W RYAN RD TO W MAYERS DR           </v>
      </c>
      <c r="N389">
        <v>0</v>
      </c>
      <c r="O389" t="str">
        <f t="shared" si="126"/>
        <v xml:space="preserve">          </v>
      </c>
      <c r="P389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90" spans="1:16" x14ac:dyDescent="0.25">
      <c r="A390" t="str">
        <f t="shared" si="127"/>
        <v>10</v>
      </c>
      <c r="B390" t="str">
        <f t="shared" ref="B390:B409" si="130">CLEAN("22")</f>
        <v>22</v>
      </c>
      <c r="C390" s="1">
        <v>45347</v>
      </c>
      <c r="D390" t="str">
        <f>CLEAN("2980-22-70")</f>
        <v>2980-22-70</v>
      </c>
      <c r="E390" t="str">
        <f>CLEAN("211  ")</f>
        <v xml:space="preserve">211  </v>
      </c>
      <c r="F390" t="str">
        <f>CLEAN("$750,000 - $999,999      ")</f>
        <v xml:space="preserve">$750,000 - $999,999      </v>
      </c>
      <c r="G390" t="str">
        <f>CLEAN("LLC")</f>
        <v>LLC</v>
      </c>
      <c r="H390" t="str">
        <f t="shared" si="129"/>
        <v>NONLET CONSTR/REAL ESTATE</v>
      </c>
      <c r="I390" t="str">
        <f>CLEAN("CONST/PED BIKE TRAIL               ")</f>
        <v xml:space="preserve">CONST/PED BIKE TRAIL               </v>
      </c>
      <c r="J390" t="str">
        <f>CLEAN("NON HWY")</f>
        <v>NON HWY</v>
      </c>
      <c r="K390" t="str">
        <f t="shared" si="128"/>
        <v xml:space="preserve">MILWAUKEE                     </v>
      </c>
      <c r="L390" t="str">
        <f>CLEAN("POWERLINE TRAIL PHASE 2            ")</f>
        <v xml:space="preserve">POWERLINE TRAIL PHASE 2            </v>
      </c>
      <c r="M390" t="str">
        <f>CLEAN("60TH-PONDVIEW PARK &amp; 40TH-HOWARD   ")</f>
        <v xml:space="preserve">60TH-PONDVIEW PARK &amp; 40TH-HOWARD   </v>
      </c>
      <c r="N390">
        <v>0</v>
      </c>
      <c r="O390" t="str">
        <f t="shared" si="126"/>
        <v xml:space="preserve">          </v>
      </c>
      <c r="P390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91" spans="1:16" x14ac:dyDescent="0.25">
      <c r="A391" t="str">
        <f t="shared" si="127"/>
        <v>10</v>
      </c>
      <c r="B391" t="str">
        <f t="shared" si="130"/>
        <v>22</v>
      </c>
      <c r="C391" s="1">
        <v>45335</v>
      </c>
      <c r="D391" t="str">
        <f>CLEAN("2984-12-74")</f>
        <v>2984-12-74</v>
      </c>
      <c r="E391" t="str">
        <f>CLEAN("205  ")</f>
        <v xml:space="preserve">205  </v>
      </c>
      <c r="F391" t="str">
        <f>CLEAN("$6,000,000 - $6,999,999  ")</f>
        <v xml:space="preserve">$6,000,000 - $6,999,999  </v>
      </c>
      <c r="G391" t="str">
        <f>CLEAN("LET")</f>
        <v>LET</v>
      </c>
      <c r="H391" t="str">
        <f>CLEAN("LET CONSTRUCTION         ")</f>
        <v xml:space="preserve">LET CONSTRUCTION         </v>
      </c>
      <c r="I391" t="str">
        <f>CLEAN("CONST/BRIDGE REHABILITATION/P400875")</f>
        <v>CONST/BRIDGE REHABILITATION/P400875</v>
      </c>
      <c r="J391" t="str">
        <f>CLEAN("LOC STR")</f>
        <v>LOC STR</v>
      </c>
      <c r="K391" t="str">
        <f t="shared" si="128"/>
        <v xml:space="preserve">MILWAUKEE                     </v>
      </c>
      <c r="L391" t="str">
        <f>CLEAN("C MILWAUKEE, N HOLTON ST PHASE 2   ")</f>
        <v xml:space="preserve">C MILWAUKEE, N HOLTON ST PHASE 2   </v>
      </c>
      <c r="M391" t="str">
        <f>CLEAN("BR OVER MILW RVR, COMMERCE, WATER  ")</f>
        <v xml:space="preserve">BR OVER MILW RVR, COMMERCE, WATER  </v>
      </c>
      <c r="N391">
        <v>0.184</v>
      </c>
      <c r="O391" t="str">
        <f t="shared" si="126"/>
        <v xml:space="preserve">          </v>
      </c>
      <c r="P39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92" spans="1:16" x14ac:dyDescent="0.25">
      <c r="A392" t="str">
        <f t="shared" si="127"/>
        <v>10</v>
      </c>
      <c r="B392" t="str">
        <f t="shared" si="130"/>
        <v>22</v>
      </c>
      <c r="C392" s="1">
        <v>45636</v>
      </c>
      <c r="D392" t="str">
        <f>CLEAN("2984-15-77")</f>
        <v>2984-15-77</v>
      </c>
      <c r="E392" t="str">
        <f>CLEAN("205  ")</f>
        <v xml:space="preserve">205  </v>
      </c>
      <c r="F392" t="str">
        <f>CLEAN("$100,000-$249,999        ")</f>
        <v xml:space="preserve">$100,000-$249,999        </v>
      </c>
      <c r="G392" t="str">
        <f>CLEAN("LET")</f>
        <v>LET</v>
      </c>
      <c r="H392" t="str">
        <f>CLEAN("LET CONSTRUCTION         ")</f>
        <v xml:space="preserve">LET CONSTRUCTION         </v>
      </c>
      <c r="I392" t="str">
        <f>CLEAN("CONST/BRRHB                        ")</f>
        <v xml:space="preserve">CONST/BRRHB                        </v>
      </c>
      <c r="J392" t="str">
        <f>CLEAN("LOC STR")</f>
        <v>LOC STR</v>
      </c>
      <c r="K392" t="str">
        <f t="shared" si="128"/>
        <v xml:space="preserve">MILWAUKEE                     </v>
      </c>
      <c r="L392" t="str">
        <f>CLEAN("C MILWAUKEE - S 72ND STREET        ")</f>
        <v xml:space="preserve">C MILWAUKEE - S 72ND STREET        </v>
      </c>
      <c r="M392" t="str">
        <f>CLEAN("BRIDGE OVER HONEY CREEK P40-0633   ")</f>
        <v xml:space="preserve">BRIDGE OVER HONEY CREEK P40-0633   </v>
      </c>
      <c r="N392">
        <v>0</v>
      </c>
      <c r="O392" t="str">
        <f t="shared" si="126"/>
        <v xml:space="preserve">          </v>
      </c>
      <c r="P3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93" spans="1:16" x14ac:dyDescent="0.25">
      <c r="A393" t="str">
        <f t="shared" si="127"/>
        <v>10</v>
      </c>
      <c r="B393" t="str">
        <f t="shared" si="130"/>
        <v>22</v>
      </c>
      <c r="C393" s="1">
        <v>45407</v>
      </c>
      <c r="D393" t="str">
        <f>CLEAN("2984-17-82")</f>
        <v>2984-17-82</v>
      </c>
      <c r="E393" t="str">
        <f>CLEAN("206  ")</f>
        <v xml:space="preserve">206  </v>
      </c>
      <c r="F393" t="str">
        <f>CLEAN("$1,000,000 - $1,999,999  ")</f>
        <v xml:space="preserve">$1,000,000 - $1,999,999  </v>
      </c>
      <c r="G393" t="str">
        <f>CLEAN("MIS")</f>
        <v>MIS</v>
      </c>
      <c r="H393" t="str">
        <f t="shared" ref="H393:H401" si="131">CLEAN("NONLET CONSTR/REAL ESTATE")</f>
        <v>NONLET CONSTR/REAL ESTATE</v>
      </c>
      <c r="I393" t="str">
        <f>CLEAN("CONST/PROCUREMENT                  ")</f>
        <v xml:space="preserve">CONST/PROCUREMENT                  </v>
      </c>
      <c r="J393" t="str">
        <f>CLEAN("VAR HWY")</f>
        <v>VAR HWY</v>
      </c>
      <c r="K393" t="str">
        <f t="shared" si="128"/>
        <v xml:space="preserve">MILWAUKEE                     </v>
      </c>
      <c r="L393" t="str">
        <f>CLEAN("C MILWAUKEE, REPLACEMENT LIGHTING  ")</f>
        <v xml:space="preserve">C MILWAUKEE, REPLACEMENT LIGHTING  </v>
      </c>
      <c r="M393" t="str">
        <f>CLEAN("CENTER-JUNEAU &amp; 60TH-LAKE MICHIGAN ")</f>
        <v xml:space="preserve">CENTER-JUNEAU &amp; 60TH-LAKE MICHIGAN </v>
      </c>
      <c r="N393">
        <v>0</v>
      </c>
      <c r="O393" t="str">
        <f t="shared" si="126"/>
        <v xml:space="preserve">          </v>
      </c>
      <c r="P393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94" spans="1:16" x14ac:dyDescent="0.25">
      <c r="A394" t="str">
        <f t="shared" si="127"/>
        <v>10</v>
      </c>
      <c r="B394" t="str">
        <f t="shared" si="130"/>
        <v>22</v>
      </c>
      <c r="C394" s="1">
        <v>45437</v>
      </c>
      <c r="D394" t="str">
        <f>CLEAN("2984-17-92")</f>
        <v>2984-17-92</v>
      </c>
      <c r="E394" t="str">
        <f>CLEAN("206  ")</f>
        <v xml:space="preserve">206  </v>
      </c>
      <c r="F394" t="str">
        <f>CLEAN("$2,000,000 - $2,999,999  ")</f>
        <v xml:space="preserve">$2,000,000 - $2,999,999  </v>
      </c>
      <c r="G394" t="str">
        <f>CLEAN("LLC")</f>
        <v>LLC</v>
      </c>
      <c r="H394" t="str">
        <f t="shared" si="131"/>
        <v>NONLET CONSTR/REAL ESTATE</v>
      </c>
      <c r="I394" t="str">
        <f>CLEAN("LFA/REPLACE LIGHTING               ")</f>
        <v xml:space="preserve">LFA/REPLACE LIGHTING               </v>
      </c>
      <c r="J394" t="str">
        <f>CLEAN("VAR HWY")</f>
        <v>VAR HWY</v>
      </c>
      <c r="K394" t="str">
        <f t="shared" si="128"/>
        <v xml:space="preserve">MILWAUKEE                     </v>
      </c>
      <c r="L394" t="str">
        <f>CLEAN("C MILWAUKEE, REPLACEMENT LIGHTING  ")</f>
        <v xml:space="preserve">C MILWAUKEE, REPLACEMENT LIGHTING  </v>
      </c>
      <c r="M394" t="str">
        <f>CLEAN("CENTER-JUNEAU &amp; 60TH-LAKE MICHIGAN ")</f>
        <v xml:space="preserve">CENTER-JUNEAU &amp; 60TH-LAKE MICHIGAN </v>
      </c>
      <c r="N394">
        <v>0</v>
      </c>
      <c r="O394" t="str">
        <f t="shared" si="126"/>
        <v xml:space="preserve">          </v>
      </c>
      <c r="P394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95" spans="1:16" x14ac:dyDescent="0.25">
      <c r="A395" t="str">
        <f t="shared" si="127"/>
        <v>10</v>
      </c>
      <c r="B395" t="str">
        <f t="shared" si="130"/>
        <v>22</v>
      </c>
      <c r="C395" s="1">
        <v>45437</v>
      </c>
      <c r="D395" t="str">
        <f>CLEAN("2984-17-93")</f>
        <v>2984-17-93</v>
      </c>
      <c r="E395" t="str">
        <f>CLEAN("206  ")</f>
        <v xml:space="preserve">206  </v>
      </c>
      <c r="F395" t="str">
        <f>CLEAN("$500,000 - $749,999      ")</f>
        <v xml:space="preserve">$500,000 - $749,999      </v>
      </c>
      <c r="G395" t="str">
        <f>CLEAN("LFA")</f>
        <v>LFA</v>
      </c>
      <c r="H395" t="str">
        <f t="shared" si="131"/>
        <v>NONLET CONSTR/REAL ESTATE</v>
      </c>
      <c r="I395" t="str">
        <f>CLEAN("LFA/TRAFFIC MANAGEMENT             ")</f>
        <v xml:space="preserve">LFA/TRAFFIC MANAGEMENT             </v>
      </c>
      <c r="J395" t="str">
        <f>CLEAN("VAR HWY")</f>
        <v>VAR HWY</v>
      </c>
      <c r="K395" t="str">
        <f t="shared" si="128"/>
        <v xml:space="preserve">MILWAUKEE                     </v>
      </c>
      <c r="L395" t="str">
        <f>CLEAN("C MILWAUKEE, TRAFFIC MANAGEMENT    ")</f>
        <v xml:space="preserve">C MILWAUKEE, TRAFFIC MANAGEMENT    </v>
      </c>
      <c r="M395" t="str">
        <f>CLEAN("LOCUST/NORTH/DR MLK 14INTERSECTIONS")</f>
        <v>LOCUST/NORTH/DR MLK 14INTERSECTIONS</v>
      </c>
      <c r="N395">
        <v>0</v>
      </c>
      <c r="O395" t="str">
        <f t="shared" si="126"/>
        <v xml:space="preserve">          </v>
      </c>
      <c r="P395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96" spans="1:16" x14ac:dyDescent="0.25">
      <c r="A396" t="str">
        <f t="shared" si="127"/>
        <v>10</v>
      </c>
      <c r="B396" t="str">
        <f t="shared" si="130"/>
        <v>22</v>
      </c>
      <c r="C396" s="1">
        <v>45407</v>
      </c>
      <c r="D396" t="str">
        <f>CLEAN("2984-22-74")</f>
        <v>2984-22-74</v>
      </c>
      <c r="E396" t="str">
        <f>CLEAN("211  ")</f>
        <v xml:space="preserve">211  </v>
      </c>
      <c r="F396" t="str">
        <f>CLEAN("$750,000 - $999,999      ")</f>
        <v xml:space="preserve">$750,000 - $999,999      </v>
      </c>
      <c r="G396" t="str">
        <f>CLEAN("LLC")</f>
        <v>LLC</v>
      </c>
      <c r="H396" t="str">
        <f t="shared" si="131"/>
        <v>NONLET CONSTR/REAL ESTATE</v>
      </c>
      <c r="I396" t="str">
        <f>CLEAN("CONST/PED BIKE FACILITIES          ")</f>
        <v xml:space="preserve">CONST/PED BIKE FACILITIES          </v>
      </c>
      <c r="J396" t="str">
        <f>CLEAN("NON HWY")</f>
        <v>NON HWY</v>
      </c>
      <c r="K396" t="str">
        <f t="shared" si="128"/>
        <v xml:space="preserve">MILWAUKEE                     </v>
      </c>
      <c r="L396" t="str">
        <f>CLEAN("KINNICKINNIC RVR TRAIL CONNECTIONS ")</f>
        <v xml:space="preserve">KINNICKINNIC RVR TRAIL CONNECTIONS </v>
      </c>
      <c r="M396" t="str">
        <f>CLEAN("VARIOUS LOCATIONS IN THE CITY      ")</f>
        <v xml:space="preserve">VARIOUS LOCATIONS IN THE CITY      </v>
      </c>
      <c r="N396">
        <v>0</v>
      </c>
      <c r="O396" t="str">
        <f t="shared" si="126"/>
        <v xml:space="preserve">          </v>
      </c>
      <c r="P396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97" spans="1:16" x14ac:dyDescent="0.25">
      <c r="A397" t="str">
        <f t="shared" si="127"/>
        <v>10</v>
      </c>
      <c r="B397" t="str">
        <f t="shared" si="130"/>
        <v>22</v>
      </c>
      <c r="C397" s="1">
        <v>45316</v>
      </c>
      <c r="D397" t="str">
        <f>CLEAN("2984-22-75")</f>
        <v>2984-22-75</v>
      </c>
      <c r="E397" t="str">
        <f>CLEAN("290  ")</f>
        <v xml:space="preserve">290  </v>
      </c>
      <c r="F397" t="str">
        <f>CLEAN("$750,000 - $999,999      ")</f>
        <v xml:space="preserve">$750,000 - $999,999      </v>
      </c>
      <c r="G397" t="str">
        <f>CLEAN("LLC")</f>
        <v>LLC</v>
      </c>
      <c r="H397" t="str">
        <f t="shared" si="131"/>
        <v>NONLET CONSTR/REAL ESTATE</v>
      </c>
      <c r="I397" t="str">
        <f>CLEAN("CONST/BIKE PEDESTRIAN TRAIL        ")</f>
        <v xml:space="preserve">CONST/BIKE PEDESTRIAN TRAIL        </v>
      </c>
      <c r="J397" t="str">
        <f>CLEAN("NON HWY")</f>
        <v>NON HWY</v>
      </c>
      <c r="K397" t="str">
        <f t="shared" si="128"/>
        <v xml:space="preserve">MILWAUKEE                     </v>
      </c>
      <c r="L397" t="str">
        <f>CLEAN("20TH ST POWER LINE &amp; BEERLINE TRAIL")</f>
        <v>20TH ST POWER LINE &amp; BEERLINE TRAIL</v>
      </c>
      <c r="M397" t="str">
        <f>CLEAN("OLIVE ST-VILLARD AVE &amp; 20TH-24TH ST")</f>
        <v>OLIVE ST-VILLARD AVE &amp; 20TH-24TH ST</v>
      </c>
      <c r="N397">
        <v>0</v>
      </c>
      <c r="O397" t="str">
        <f t="shared" ref="O397:O428" si="132">CLEAN("          ")</f>
        <v xml:space="preserve">          </v>
      </c>
      <c r="P397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98" spans="1:16" x14ac:dyDescent="0.25">
      <c r="A398" t="str">
        <f t="shared" si="127"/>
        <v>10</v>
      </c>
      <c r="B398" t="str">
        <f t="shared" si="130"/>
        <v>22</v>
      </c>
      <c r="C398" s="1">
        <v>45651</v>
      </c>
      <c r="D398" t="str">
        <f>CLEAN("2984-22-96")</f>
        <v>2984-22-96</v>
      </c>
      <c r="E398" t="str">
        <f>CLEAN("211  ")</f>
        <v xml:space="preserve">211  </v>
      </c>
      <c r="F398" t="str">
        <f>CLEAN("$1,000,000 - $1,999,999  ")</f>
        <v xml:space="preserve">$1,000,000 - $1,999,999  </v>
      </c>
      <c r="G398" t="str">
        <f>CLEAN("LFA")</f>
        <v>LFA</v>
      </c>
      <c r="H398" t="str">
        <f t="shared" si="131"/>
        <v>NONLET CONSTR/REAL ESTATE</v>
      </c>
      <c r="I398" t="str">
        <f>CLEAN("CONST/LFA-ATC/COMM UPGRADE         ")</f>
        <v xml:space="preserve">CONST/LFA-ATC/COMM UPGRADE         </v>
      </c>
      <c r="J398" t="str">
        <f>CLEAN("NON HWY")</f>
        <v>NON HWY</v>
      </c>
      <c r="K398" t="str">
        <f t="shared" si="128"/>
        <v xml:space="preserve">MILWAUKEE                     </v>
      </c>
      <c r="L398" t="str">
        <f>CLEAN("ATC CONTROLLER &amp; COMM UPGRADE GR 8 ")</f>
        <v xml:space="preserve">ATC CONTROLLER &amp; COMM UPGRADE GR 8 </v>
      </c>
      <c r="M398" t="str">
        <f>CLEAN("42 INTERSECTIONS                   ")</f>
        <v xml:space="preserve">42 INTERSECTIONS                   </v>
      </c>
      <c r="N398">
        <v>0</v>
      </c>
      <c r="O398" t="str">
        <f t="shared" si="132"/>
        <v xml:space="preserve">          </v>
      </c>
      <c r="P398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99" spans="1:16" x14ac:dyDescent="0.25">
      <c r="A399" t="str">
        <f t="shared" si="127"/>
        <v>10</v>
      </c>
      <c r="B399" t="str">
        <f t="shared" si="130"/>
        <v>22</v>
      </c>
      <c r="C399" s="1">
        <v>45621</v>
      </c>
      <c r="D399" t="str">
        <f>CLEAN("2984-24-82")</f>
        <v>2984-24-82</v>
      </c>
      <c r="E399" t="str">
        <f>CLEAN("211  ")</f>
        <v xml:space="preserve">211  </v>
      </c>
      <c r="F399" t="str">
        <f>CLEAN("$2,000,000 - $2,999,999  ")</f>
        <v xml:space="preserve">$2,000,000 - $2,999,999  </v>
      </c>
      <c r="G399" t="str">
        <f>CLEAN("MIS")</f>
        <v>MIS</v>
      </c>
      <c r="H399" t="str">
        <f t="shared" si="131"/>
        <v>NONLET CONSTR/REAL ESTATE</v>
      </c>
      <c r="I399" t="str">
        <f>CLEAN("MIS/PROCURE ELECTRIC VEHICLES      ")</f>
        <v xml:space="preserve">MIS/PROCURE ELECTRIC VEHICLES      </v>
      </c>
      <c r="J399" t="str">
        <f>CLEAN("NON HWY")</f>
        <v>NON HWY</v>
      </c>
      <c r="K399" t="str">
        <f t="shared" si="128"/>
        <v xml:space="preserve">MILWAUKEE                     </v>
      </c>
      <c r="L399" t="str">
        <f>CLEAN("EV FLEET CONVERSION                ")</f>
        <v xml:space="preserve">EV FLEET CONVERSION                </v>
      </c>
      <c r="M399" t="str">
        <f>CLEAN("PURCHASE 60 EVS &amp; 42 CHARGING STATN")</f>
        <v>PURCHASE 60 EVS &amp; 42 CHARGING STATN</v>
      </c>
      <c r="N399">
        <v>0</v>
      </c>
      <c r="O399" t="str">
        <f t="shared" si="132"/>
        <v xml:space="preserve">          </v>
      </c>
      <c r="P399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400" spans="1:16" x14ac:dyDescent="0.25">
      <c r="A400" t="str">
        <f t="shared" si="127"/>
        <v>10</v>
      </c>
      <c r="B400" t="str">
        <f t="shared" si="130"/>
        <v>22</v>
      </c>
      <c r="C400" s="1">
        <v>45498</v>
      </c>
      <c r="D400" t="str">
        <f>CLEAN("2984-26-22")</f>
        <v>2984-26-22</v>
      </c>
      <c r="E400" t="str">
        <f>CLEAN("206  ")</f>
        <v xml:space="preserve">206  </v>
      </c>
      <c r="F400" t="str">
        <f>CLEAN("$500,000 - $749,999      ")</f>
        <v xml:space="preserve">$500,000 - $749,999      </v>
      </c>
      <c r="G400" t="str">
        <f>CLEAN("R/E")</f>
        <v>R/E</v>
      </c>
      <c r="H400" t="str">
        <f t="shared" si="131"/>
        <v>NONLET CONSTR/REAL ESTATE</v>
      </c>
      <c r="I400" t="str">
        <f>CLEAN("RE/RECST                           ")</f>
        <v xml:space="preserve">RE/RECST                           </v>
      </c>
      <c r="J400" t="str">
        <f>CLEAN("LOC STR")</f>
        <v>LOC STR</v>
      </c>
      <c r="K400" t="str">
        <f t="shared" si="128"/>
        <v xml:space="preserve">MILWAUKEE                     </v>
      </c>
      <c r="L400" t="str">
        <f>CLEAN("C MILWAUKEE, N SHERMAN BLVD        ")</f>
        <v xml:space="preserve">C MILWAUKEE, N SHERMAN BLVD        </v>
      </c>
      <c r="M400" t="str">
        <f>CLEAN("W NORTH AVE TO W BURLEIGH ST       ")</f>
        <v xml:space="preserve">W NORTH AVE TO W BURLEIGH ST       </v>
      </c>
      <c r="N400">
        <v>0.996</v>
      </c>
      <c r="O400" t="str">
        <f t="shared" si="132"/>
        <v xml:space="preserve">          </v>
      </c>
      <c r="P40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401" spans="1:16" x14ac:dyDescent="0.25">
      <c r="A401" t="str">
        <f t="shared" si="127"/>
        <v>10</v>
      </c>
      <c r="B401" t="str">
        <f t="shared" si="130"/>
        <v>22</v>
      </c>
      <c r="C401" s="1">
        <v>45498</v>
      </c>
      <c r="D401" t="str">
        <f>CLEAN("2984-26-24")</f>
        <v>2984-26-24</v>
      </c>
      <c r="E401" t="str">
        <f>CLEAN("206  ")</f>
        <v xml:space="preserve">206  </v>
      </c>
      <c r="F401" t="str">
        <f>CLEAN("$500,000 - $749,999      ")</f>
        <v xml:space="preserve">$500,000 - $749,999      </v>
      </c>
      <c r="G401" t="str">
        <f>CLEAN("R/E")</f>
        <v>R/E</v>
      </c>
      <c r="H401" t="str">
        <f t="shared" si="131"/>
        <v>NONLET CONSTR/REAL ESTATE</v>
      </c>
      <c r="I401" t="str">
        <f>CLEAN("RE/RECST                           ")</f>
        <v xml:space="preserve">RE/RECST                           </v>
      </c>
      <c r="J401" t="str">
        <f>CLEAN("LOC STR")</f>
        <v>LOC STR</v>
      </c>
      <c r="K401" t="str">
        <f t="shared" si="128"/>
        <v xml:space="preserve">MILWAUKEE                     </v>
      </c>
      <c r="L401" t="str">
        <f>CLEAN("C MILWAUKEE, N SHERMAN BLVD        ")</f>
        <v xml:space="preserve">C MILWAUKEE, N SHERMAN BLVD        </v>
      </c>
      <c r="M401" t="str">
        <f>CLEAN("W BURLEIGH ST TO W CAPITOL DR      ")</f>
        <v xml:space="preserve">W BURLEIGH ST TO W CAPITOL DR      </v>
      </c>
      <c r="N401">
        <v>1.0149999999999999</v>
      </c>
      <c r="O401" t="str">
        <f t="shared" si="132"/>
        <v xml:space="preserve">          </v>
      </c>
      <c r="P40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402" spans="1:16" x14ac:dyDescent="0.25">
      <c r="A402" t="str">
        <f t="shared" si="127"/>
        <v>10</v>
      </c>
      <c r="B402" t="str">
        <f t="shared" si="130"/>
        <v>22</v>
      </c>
      <c r="C402" s="1">
        <v>45426</v>
      </c>
      <c r="D402" t="str">
        <f>CLEAN("2984-26-73")</f>
        <v>2984-26-73</v>
      </c>
      <c r="E402" t="str">
        <f>CLEAN("205  ")</f>
        <v xml:space="preserve">205  </v>
      </c>
      <c r="F402" t="str">
        <f>CLEAN("$15,000,000 - $16,999,999")</f>
        <v>$15,000,000 - $16,999,999</v>
      </c>
      <c r="G402" t="str">
        <f>CLEAN("LET")</f>
        <v>LET</v>
      </c>
      <c r="H402" t="str">
        <f>CLEAN("LET CONSTRUCTION         ")</f>
        <v xml:space="preserve">LET CONSTRUCTION         </v>
      </c>
      <c r="I402" t="str">
        <f>CLEAN("CONST/BRIDGE REHAB                 ")</f>
        <v xml:space="preserve">CONST/BRIDGE REHAB                 </v>
      </c>
      <c r="J402" t="str">
        <f>CLEAN("LOC STR")</f>
        <v>LOC STR</v>
      </c>
      <c r="K402" t="str">
        <f t="shared" si="128"/>
        <v xml:space="preserve">MILWAUKEE                     </v>
      </c>
      <c r="L402" t="str">
        <f>CLEAN("C MILWAUKEE, CHERRY ST             ")</f>
        <v xml:space="preserve">C MILWAUKEE, CHERRY ST             </v>
      </c>
      <c r="M402" t="str">
        <f>CLEAN("MILWAUKEE RIVER BRIDGE P40-864     ")</f>
        <v xml:space="preserve">MILWAUKEE RIVER BRIDGE P40-864     </v>
      </c>
      <c r="N402">
        <v>0</v>
      </c>
      <c r="O402" t="str">
        <f t="shared" si="132"/>
        <v xml:space="preserve">          </v>
      </c>
      <c r="P40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03" spans="1:16" x14ac:dyDescent="0.25">
      <c r="A403" t="str">
        <f t="shared" si="127"/>
        <v>10</v>
      </c>
      <c r="B403" t="str">
        <f t="shared" si="130"/>
        <v>22</v>
      </c>
      <c r="C403" s="1">
        <v>45529</v>
      </c>
      <c r="D403" t="str">
        <f>CLEAN("2984-27-72")</f>
        <v>2984-27-72</v>
      </c>
      <c r="E403" t="str">
        <f>CLEAN("290  ")</f>
        <v xml:space="preserve">290  </v>
      </c>
      <c r="F403" t="str">
        <f>CLEAN("$250,000 - $499,999      ")</f>
        <v xml:space="preserve">$250,000 - $499,999      </v>
      </c>
      <c r="G403" t="str">
        <f>CLEAN("LLC")</f>
        <v>LLC</v>
      </c>
      <c r="H403" t="str">
        <f t="shared" ref="H403:H410" si="133">CLEAN("NONLET CONSTR/REAL ESTATE")</f>
        <v>NONLET CONSTR/REAL ESTATE</v>
      </c>
      <c r="I403" t="str">
        <f>CLEAN("CONST/LIGHTING                     ")</f>
        <v xml:space="preserve">CONST/LIGHTING                     </v>
      </c>
      <c r="J403" t="str">
        <f>CLEAN("NON HWY")</f>
        <v>NON HWY</v>
      </c>
      <c r="K403" t="str">
        <f t="shared" si="128"/>
        <v xml:space="preserve">MILWAUKEE                     </v>
      </c>
      <c r="L403" t="str">
        <f>CLEAN("STREET LIGHTING IMPROVEMENTS       ")</f>
        <v xml:space="preserve">STREET LIGHTING IMPROVEMENTS       </v>
      </c>
      <c r="M403" t="str">
        <f>CLEAN("VARIOUS LOCATIONS CITY WIDE        ")</f>
        <v xml:space="preserve">VARIOUS LOCATIONS CITY WIDE        </v>
      </c>
      <c r="N403">
        <v>0</v>
      </c>
      <c r="O403" t="str">
        <f t="shared" si="132"/>
        <v xml:space="preserve">          </v>
      </c>
      <c r="P403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404" spans="1:16" x14ac:dyDescent="0.25">
      <c r="A404" t="str">
        <f t="shared" si="127"/>
        <v>10</v>
      </c>
      <c r="B404" t="str">
        <f t="shared" si="130"/>
        <v>22</v>
      </c>
      <c r="C404" s="1">
        <v>45407</v>
      </c>
      <c r="D404" t="str">
        <f>CLEAN("2984-28-91")</f>
        <v>2984-28-91</v>
      </c>
      <c r="E404" t="str">
        <f>CLEAN("211  ")</f>
        <v xml:space="preserve">211  </v>
      </c>
      <c r="F404" t="str">
        <f>CLEAN("$1,000,000 - $1,999,999  ")</f>
        <v xml:space="preserve">$1,000,000 - $1,999,999  </v>
      </c>
      <c r="G404" t="str">
        <f>CLEAN("LFA")</f>
        <v>LFA</v>
      </c>
      <c r="H404" t="str">
        <f t="shared" si="133"/>
        <v>NONLET CONSTR/REAL ESTATE</v>
      </c>
      <c r="I404" t="str">
        <f>CLEAN("LFA/FIBER OPTIC                    ")</f>
        <v xml:space="preserve">LFA/FIBER OPTIC                    </v>
      </c>
      <c r="J404" t="str">
        <f>CLEAN("VAR HWY")</f>
        <v>VAR HWY</v>
      </c>
      <c r="K404" t="str">
        <f t="shared" si="128"/>
        <v xml:space="preserve">MILWAUKEE                     </v>
      </c>
      <c r="L404" t="str">
        <f>CLEAN("FIBER OPTIC INTERCONNECT           ")</f>
        <v xml:space="preserve">FIBER OPTIC INTERCONNECT           </v>
      </c>
      <c r="M404" t="str">
        <f>CLEAN("LISBON, WALNUT AND 27TH CORRIDORS  ")</f>
        <v xml:space="preserve">LISBON, WALNUT AND 27TH CORRIDORS  </v>
      </c>
      <c r="N404">
        <v>0</v>
      </c>
      <c r="O404" t="str">
        <f t="shared" si="132"/>
        <v xml:space="preserve">          </v>
      </c>
      <c r="P404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405" spans="1:16" x14ac:dyDescent="0.25">
      <c r="A405" t="str">
        <f t="shared" si="127"/>
        <v>10</v>
      </c>
      <c r="B405" t="str">
        <f t="shared" si="130"/>
        <v>22</v>
      </c>
      <c r="C405" s="1">
        <v>45407</v>
      </c>
      <c r="D405" t="str">
        <f>CLEAN("2984-28-94")</f>
        <v>2984-28-94</v>
      </c>
      <c r="E405" t="str">
        <f>CLEAN("211  ")</f>
        <v xml:space="preserve">211  </v>
      </c>
      <c r="F405" t="str">
        <f>CLEAN("$500,000 - $749,999      ")</f>
        <v xml:space="preserve">$500,000 - $749,999      </v>
      </c>
      <c r="G405" t="str">
        <f>CLEAN("LFA")</f>
        <v>LFA</v>
      </c>
      <c r="H405" t="str">
        <f t="shared" si="133"/>
        <v>NONLET CONSTR/REAL ESTATE</v>
      </c>
      <c r="I405" t="str">
        <f>CLEAN("LFA/FIBER OPTIC                    ")</f>
        <v xml:space="preserve">LFA/FIBER OPTIC                    </v>
      </c>
      <c r="J405" t="str">
        <f>CLEAN("VAR HWY")</f>
        <v>VAR HWY</v>
      </c>
      <c r="K405" t="str">
        <f t="shared" si="128"/>
        <v xml:space="preserve">MILWAUKEE                     </v>
      </c>
      <c r="L405" t="str">
        <f>CLEAN("FIBER OPTIC INTERCONNECT           ")</f>
        <v xml:space="preserve">FIBER OPTIC INTERCONNECT           </v>
      </c>
      <c r="M405" t="str">
        <f>CLEAN("CESAR CHAVEZ DR &amp; NATIONAL AVE CORR")</f>
        <v>CESAR CHAVEZ DR &amp; NATIONAL AVE CORR</v>
      </c>
      <c r="N405">
        <v>0</v>
      </c>
      <c r="O405" t="str">
        <f t="shared" si="132"/>
        <v xml:space="preserve">          </v>
      </c>
      <c r="P405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406" spans="1:16" x14ac:dyDescent="0.25">
      <c r="A406" t="str">
        <f t="shared" si="127"/>
        <v>10</v>
      </c>
      <c r="B406" t="str">
        <f t="shared" si="130"/>
        <v>22</v>
      </c>
      <c r="C406" s="1">
        <v>45407</v>
      </c>
      <c r="D406" t="str">
        <f>CLEAN("2987-03-85")</f>
        <v>2987-03-85</v>
      </c>
      <c r="E406" t="str">
        <f>CLEAN("206  ")</f>
        <v xml:space="preserve">206  </v>
      </c>
      <c r="F406" t="str">
        <f>CLEAN("$250,000 - $499,999      ")</f>
        <v xml:space="preserve">$250,000 - $499,999      </v>
      </c>
      <c r="G406" t="str">
        <f>CLEAN("MIS")</f>
        <v>MIS</v>
      </c>
      <c r="H406" t="str">
        <f t="shared" si="133"/>
        <v>NONLET CONSTR/REAL ESTATE</v>
      </c>
      <c r="I406" t="str">
        <f>CLEAN("CONST/PROCUREMENT                  ")</f>
        <v xml:space="preserve">CONST/PROCUREMENT                  </v>
      </c>
      <c r="J406" t="str">
        <f>CLEAN("NON HWY")</f>
        <v>NON HWY</v>
      </c>
      <c r="K406" t="str">
        <f t="shared" si="128"/>
        <v xml:space="preserve">MILWAUKEE                     </v>
      </c>
      <c r="L406" t="str">
        <f>CLEAN("C OAK CREEK LIGHTING UPGRADE       ")</f>
        <v xml:space="preserve">C OAK CREEK LIGHTING UPGRADE       </v>
      </c>
      <c r="M406" t="str">
        <f>CLEAN("VARIOUS LOCATIONS PER APPLICATION  ")</f>
        <v xml:space="preserve">VARIOUS LOCATIONS PER APPLICATION  </v>
      </c>
      <c r="N406">
        <v>0</v>
      </c>
      <c r="O406" t="str">
        <f t="shared" si="132"/>
        <v xml:space="preserve">          </v>
      </c>
      <c r="P406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407" spans="1:16" x14ac:dyDescent="0.25">
      <c r="A407" t="str">
        <f t="shared" si="127"/>
        <v>10</v>
      </c>
      <c r="B407" t="str">
        <f t="shared" si="130"/>
        <v>22</v>
      </c>
      <c r="C407" s="1">
        <v>45437</v>
      </c>
      <c r="D407" t="str">
        <f>CLEAN("2994-08-70")</f>
        <v>2994-08-70</v>
      </c>
      <c r="E407" t="str">
        <f>CLEAN("206  ")</f>
        <v xml:space="preserve">206  </v>
      </c>
      <c r="F407" t="str">
        <f>CLEAN("$250,000 - $499,999      ")</f>
        <v xml:space="preserve">$250,000 - $499,999      </v>
      </c>
      <c r="G407" t="str">
        <f>CLEAN("LLC")</f>
        <v>LLC</v>
      </c>
      <c r="H407" t="str">
        <f t="shared" si="133"/>
        <v>NONLET CONSTR/REAL ESTATE</v>
      </c>
      <c r="I407" t="str">
        <f>CLEAN("CONST/STREET LIGHTING              ")</f>
        <v xml:space="preserve">CONST/STREET LIGHTING              </v>
      </c>
      <c r="J407" t="str">
        <f>CLEAN("VAR HWY")</f>
        <v>VAR HWY</v>
      </c>
      <c r="K407" t="str">
        <f t="shared" si="128"/>
        <v xml:space="preserve">MILWAUKEE                     </v>
      </c>
      <c r="L407" t="str">
        <f>CLEAN("C WAUWATOSA, LIGHTING CONVERSION   ")</f>
        <v xml:space="preserve">C WAUWATOSA, LIGHTING CONVERSION   </v>
      </c>
      <c r="M407" t="str">
        <f>CLEAN("VARIOUS LOCATIONS PER APPLICATION  ")</f>
        <v xml:space="preserve">VARIOUS LOCATIONS PER APPLICATION  </v>
      </c>
      <c r="N407">
        <v>0</v>
      </c>
      <c r="O407" t="str">
        <f t="shared" si="132"/>
        <v xml:space="preserve">          </v>
      </c>
      <c r="P40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408" spans="1:16" x14ac:dyDescent="0.25">
      <c r="A408" t="str">
        <f t="shared" si="127"/>
        <v>10</v>
      </c>
      <c r="B408" t="str">
        <f t="shared" si="130"/>
        <v>22</v>
      </c>
      <c r="C408" s="1">
        <v>45285</v>
      </c>
      <c r="D408" t="str">
        <f>CLEAN("2995-27-20")</f>
        <v>2995-27-20</v>
      </c>
      <c r="E408" t="str">
        <f>CLEAN("301EW")</f>
        <v>301EW</v>
      </c>
      <c r="F408" t="str">
        <f>CLEAN("$4,000,000 - $4,999,999  ")</f>
        <v xml:space="preserve">$4,000,000 - $4,999,999  </v>
      </c>
      <c r="G408" t="str">
        <f>CLEAN("R/E")</f>
        <v>R/E</v>
      </c>
      <c r="H408" t="str">
        <f t="shared" si="133"/>
        <v>NONLET CONSTR/REAL ESTATE</v>
      </c>
      <c r="I408" t="str">
        <f>CLEAN("RE/EARLY ACQUISITIONS              ")</f>
        <v xml:space="preserve">RE/EARLY ACQUISITIONS              </v>
      </c>
      <c r="J408" t="str">
        <f>CLEAN("LOC STR")</f>
        <v>LOC STR</v>
      </c>
      <c r="K408" t="str">
        <f t="shared" si="128"/>
        <v xml:space="preserve">MILWAUKEE                     </v>
      </c>
      <c r="L408" t="str">
        <f>CLEAN("IH 94 EAST WEST                    ")</f>
        <v xml:space="preserve">IH 94 EAST WEST                    </v>
      </c>
      <c r="M408" t="str">
        <f>CLEAN("WASHINGTON STREET                  ")</f>
        <v xml:space="preserve">WASHINGTON STREET                  </v>
      </c>
      <c r="N408">
        <v>4.8000000000000001E-2</v>
      </c>
      <c r="O408" t="str">
        <f t="shared" si="132"/>
        <v xml:space="preserve">          </v>
      </c>
      <c r="P408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409" spans="1:16" x14ac:dyDescent="0.25">
      <c r="A409" t="str">
        <f t="shared" si="127"/>
        <v>10</v>
      </c>
      <c r="B409" t="str">
        <f t="shared" si="130"/>
        <v>22</v>
      </c>
      <c r="C409" s="1">
        <v>45498</v>
      </c>
      <c r="D409" t="str">
        <f>CLEAN("2995-27-20")</f>
        <v>2995-27-20</v>
      </c>
      <c r="E409" t="str">
        <f>CLEAN("301EW")</f>
        <v>301EW</v>
      </c>
      <c r="F409" t="str">
        <f>CLEAN("$15,000,000 - $16,999,999")</f>
        <v>$15,000,000 - $16,999,999</v>
      </c>
      <c r="G409" t="str">
        <f>CLEAN("R/E")</f>
        <v>R/E</v>
      </c>
      <c r="H409" t="str">
        <f t="shared" si="133"/>
        <v>NONLET CONSTR/REAL ESTATE</v>
      </c>
      <c r="I409" t="str">
        <f>CLEAN("RE/EARLY ACQUISITIONS              ")</f>
        <v xml:space="preserve">RE/EARLY ACQUISITIONS              </v>
      </c>
      <c r="J409" t="str">
        <f>CLEAN("LOC STR")</f>
        <v>LOC STR</v>
      </c>
      <c r="K409" t="str">
        <f t="shared" si="128"/>
        <v xml:space="preserve">MILWAUKEE                     </v>
      </c>
      <c r="L409" t="str">
        <f>CLEAN("IH 94 EAST WEST                    ")</f>
        <v xml:space="preserve">IH 94 EAST WEST                    </v>
      </c>
      <c r="M409" t="str">
        <f>CLEAN("WASHINGTON STREET                  ")</f>
        <v xml:space="preserve">WASHINGTON STREET                  </v>
      </c>
      <c r="N409">
        <v>4.8000000000000001E-2</v>
      </c>
      <c r="O409" t="str">
        <f t="shared" si="132"/>
        <v xml:space="preserve">          </v>
      </c>
      <c r="P409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410" spans="1:16" x14ac:dyDescent="0.25">
      <c r="A410" t="str">
        <f t="shared" si="127"/>
        <v>10</v>
      </c>
      <c r="B410" t="str">
        <f t="shared" ref="B410:B417" si="134">CLEAN("21")</f>
        <v>21</v>
      </c>
      <c r="C410" s="1">
        <v>45285</v>
      </c>
      <c r="D410" t="str">
        <f>CLEAN("3050-01-26")</f>
        <v>3050-01-26</v>
      </c>
      <c r="E410" t="str">
        <f>CLEAN("303  ")</f>
        <v xml:space="preserve">303  </v>
      </c>
      <c r="F410" t="str">
        <f>CLEAN("$0 - $99,999             ")</f>
        <v xml:space="preserve">$0 - $99,999             </v>
      </c>
      <c r="G410" t="str">
        <f>CLEAN("R/E")</f>
        <v>R/E</v>
      </c>
      <c r="H410" t="str">
        <f t="shared" si="133"/>
        <v>NONLET CONSTR/REAL ESTATE</v>
      </c>
      <c r="I410" t="str">
        <f>CLEAN("RE/RSRF/CONST 3050-01-76           ")</f>
        <v xml:space="preserve">RE/RSRF/CONST 3050-01-76           </v>
      </c>
      <c r="J410" t="str">
        <f>CLEAN("STH 019")</f>
        <v>STH 019</v>
      </c>
      <c r="K410" t="str">
        <f>CLEAN("DANE                          ")</f>
        <v xml:space="preserve">DANE                          </v>
      </c>
      <c r="L410" t="str">
        <f>CLEAN("SUN PRAIRIE - WATERTOWN            ")</f>
        <v xml:space="preserve">SUN PRAIRIE - WATERTOWN            </v>
      </c>
      <c r="M410" t="str">
        <f>CLEAN("WOOD VIOLET LANE TO BR MAUNESHA RVR")</f>
        <v>WOOD VIOLET LANE TO BR MAUNESHA RVR</v>
      </c>
      <c r="N410">
        <v>6.6440000000000001</v>
      </c>
      <c r="O410" t="str">
        <f t="shared" si="132"/>
        <v xml:space="preserve">          </v>
      </c>
      <c r="P41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11" spans="1:16" x14ac:dyDescent="0.25">
      <c r="A411" t="str">
        <f t="shared" si="127"/>
        <v>10</v>
      </c>
      <c r="B411" t="str">
        <f t="shared" si="134"/>
        <v>21</v>
      </c>
      <c r="C411" s="1">
        <v>45363</v>
      </c>
      <c r="D411" t="str">
        <f>CLEAN("3050-04-81")</f>
        <v>3050-04-81</v>
      </c>
      <c r="E411" t="str">
        <f>CLEAN("303  ")</f>
        <v xml:space="preserve">303  </v>
      </c>
      <c r="F411" t="str">
        <f>CLEAN("$5,000,000 - $5,999,999  ")</f>
        <v xml:space="preserve">$5,000,000 - $5,999,999  </v>
      </c>
      <c r="G411" t="str">
        <f>CLEAN("LET")</f>
        <v>LET</v>
      </c>
      <c r="H411" t="str">
        <f>CLEAN("LET CONSTRUCTION         ")</f>
        <v xml:space="preserve">LET CONSTRUCTION         </v>
      </c>
      <c r="I411" t="str">
        <f>CLEAN("CONST/REPLACE STRUCTURE            ")</f>
        <v xml:space="preserve">CONST/REPLACE STRUCTURE            </v>
      </c>
      <c r="J411" t="str">
        <f>CLEAN("STH 019")</f>
        <v>STH 019</v>
      </c>
      <c r="K411" t="str">
        <f>CLEAN("JEFFERSON                     ")</f>
        <v xml:space="preserve">JEFFERSON                     </v>
      </c>
      <c r="L411" t="str">
        <f>CLEAN("C WATERTOWN, MAIN STREET           ")</f>
        <v xml:space="preserve">C WATERTOWN, MAIN STREET           </v>
      </c>
      <c r="M411" t="str">
        <f>CLEAN("ROCK RIVER STRUCTURE B-28-193      ")</f>
        <v xml:space="preserve">ROCK RIVER STRUCTURE B-28-193      </v>
      </c>
      <c r="N411">
        <v>0.06</v>
      </c>
      <c r="O411" t="str">
        <f t="shared" si="132"/>
        <v xml:space="preserve">          </v>
      </c>
      <c r="P41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412" spans="1:16" x14ac:dyDescent="0.25">
      <c r="A412" t="str">
        <f t="shared" si="127"/>
        <v>10</v>
      </c>
      <c r="B412" t="str">
        <f t="shared" si="134"/>
        <v>21</v>
      </c>
      <c r="C412" s="1">
        <v>45285</v>
      </c>
      <c r="D412" t="str">
        <f>CLEAN("3050-05-22")</f>
        <v>3050-05-22</v>
      </c>
      <c r="E412" t="str">
        <f>CLEAN("303  ")</f>
        <v xml:space="preserve">303  </v>
      </c>
      <c r="F412" t="str">
        <f>CLEAN("$0 - $99,999             ")</f>
        <v xml:space="preserve">$0 - $99,999             </v>
      </c>
      <c r="G412" t="str">
        <f>CLEAN("R/E")</f>
        <v>R/E</v>
      </c>
      <c r="H412" t="str">
        <f>CLEAN("NONLET CONSTR/REAL ESTATE")</f>
        <v>NONLET CONSTR/REAL ESTATE</v>
      </c>
      <c r="I412" t="str">
        <f>CLEAN("RE OPS/3050-05-72/RSRF             ")</f>
        <v xml:space="preserve">RE OPS/3050-05-72/RSRF             </v>
      </c>
      <c r="J412" t="str">
        <f>CLEAN("STH 019")</f>
        <v>STH 019</v>
      </c>
      <c r="K412" t="str">
        <f>CLEAN("DANE                          ")</f>
        <v xml:space="preserve">DANE                          </v>
      </c>
      <c r="L412" t="str">
        <f>CLEAN("C SUN PRAIRIE, WINDSOR/ BRISTOL STS")</f>
        <v>C SUN PRAIRIE, WINDSOR/ BRISTOL STS</v>
      </c>
      <c r="M412" t="str">
        <f>CLEAN("NORTH STREET TO MAIN STREET        ")</f>
        <v xml:space="preserve">NORTH STREET TO MAIN STREET        </v>
      </c>
      <c r="N412">
        <v>0.435</v>
      </c>
      <c r="O412" t="str">
        <f t="shared" si="132"/>
        <v xml:space="preserve">          </v>
      </c>
      <c r="P4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13" spans="1:16" x14ac:dyDescent="0.25">
      <c r="A413" t="str">
        <f t="shared" si="127"/>
        <v>10</v>
      </c>
      <c r="B413" t="str">
        <f t="shared" si="134"/>
        <v>21</v>
      </c>
      <c r="C413" s="1">
        <v>45376</v>
      </c>
      <c r="D413" t="str">
        <f>CLEAN("3060-00-70")</f>
        <v>3060-00-70</v>
      </c>
      <c r="E413" t="str">
        <f>CLEAN("290  ")</f>
        <v xml:space="preserve">290  </v>
      </c>
      <c r="F413" t="str">
        <f>CLEAN("$0 - $99,999             ")</f>
        <v xml:space="preserve">$0 - $99,999             </v>
      </c>
      <c r="G413" t="str">
        <f>CLEAN("LLC")</f>
        <v>LLC</v>
      </c>
      <c r="H413" t="str">
        <f>CLEAN("NONLET CONSTR/REAL ESTATE")</f>
        <v>NONLET CONSTR/REAL ESTATE</v>
      </c>
      <c r="I413" t="str">
        <f>CLEAN("PEDESTRAIN/BICYCLE MULTI-USE PATH  ")</f>
        <v xml:space="preserve">PEDESTRAIN/BICYCLE MULTI-USE PATH  </v>
      </c>
      <c r="J413" t="str">
        <f>CLEAN("NON HWY")</f>
        <v>NON HWY</v>
      </c>
      <c r="K413" t="str">
        <f>CLEAN("DANE                          ")</f>
        <v xml:space="preserve">DANE                          </v>
      </c>
      <c r="L413" t="str">
        <f>CLEAN("V MARSHALL, HWY 73 PATH            ")</f>
        <v xml:space="preserve">V MARSHALL, HWY 73 PATH            </v>
      </c>
      <c r="M413" t="str">
        <f>CLEAN("WHISTLE STREET TO PORTER STREET    ")</f>
        <v xml:space="preserve">WHISTLE STREET TO PORTER STREET    </v>
      </c>
      <c r="N413">
        <v>0</v>
      </c>
      <c r="O413" t="str">
        <f t="shared" si="132"/>
        <v xml:space="preserve">          </v>
      </c>
      <c r="P413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414" spans="1:16" x14ac:dyDescent="0.25">
      <c r="A414" t="str">
        <f t="shared" si="127"/>
        <v>10</v>
      </c>
      <c r="B414" t="str">
        <f t="shared" si="134"/>
        <v>21</v>
      </c>
      <c r="C414" s="1">
        <v>45498</v>
      </c>
      <c r="D414" t="str">
        <f>CLEAN("3060-03-51")</f>
        <v>3060-03-51</v>
      </c>
      <c r="E414" t="str">
        <f t="shared" ref="E414:E422" si="135">CLEAN("303  ")</f>
        <v xml:space="preserve">303  </v>
      </c>
      <c r="F414" t="str">
        <f>CLEAN("$250,000 - $499,999      ")</f>
        <v xml:space="preserve">$250,000 - $499,999      </v>
      </c>
      <c r="G414" t="str">
        <f>CLEAN("R/R")</f>
        <v>R/R</v>
      </c>
      <c r="H414" t="str">
        <f>CLEAN("NONLET CONSTR/REAL ESTATE")</f>
        <v>NONLET CONSTR/REAL ESTATE</v>
      </c>
      <c r="I414" t="str">
        <f>CLEAN("RR/SIGNALS/PVRPLA                  ")</f>
        <v xml:space="preserve">RR/SIGNALS/PVRPLA                  </v>
      </c>
      <c r="J414" t="str">
        <f>CLEAN("STH 073")</f>
        <v>STH 073</v>
      </c>
      <c r="K414" t="str">
        <f>CLEAN("DANE                          ")</f>
        <v xml:space="preserve">DANE                          </v>
      </c>
      <c r="L414" t="str">
        <f>CLEAN("I39 - COLUMBUS                     ")</f>
        <v xml:space="preserve">I39 - COLUMBUS                     </v>
      </c>
      <c r="M414" t="str">
        <f>CLEAN("STH 19 TO N MARSHALL V LIMIT       ")</f>
        <v xml:space="preserve">STH 19 TO N MARSHALL V LIMIT       </v>
      </c>
      <c r="N414">
        <v>1.36</v>
      </c>
      <c r="O414" t="str">
        <f t="shared" si="132"/>
        <v xml:space="preserve">          </v>
      </c>
      <c r="P414" t="str">
        <f t="shared" ref="P414:P420" si="136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15" spans="1:16" x14ac:dyDescent="0.25">
      <c r="A415" t="str">
        <f t="shared" si="127"/>
        <v>10</v>
      </c>
      <c r="B415" t="str">
        <f t="shared" si="134"/>
        <v>21</v>
      </c>
      <c r="C415" s="1">
        <v>45285</v>
      </c>
      <c r="D415" t="str">
        <f>CLEAN("3060-03-80")</f>
        <v>3060-03-80</v>
      </c>
      <c r="E415" t="str">
        <f t="shared" si="135"/>
        <v xml:space="preserve">303  </v>
      </c>
      <c r="F415" t="str">
        <f>CLEAN("$0 - $99,999             ")</f>
        <v xml:space="preserve">$0 - $99,999             </v>
      </c>
      <c r="G415" t="str">
        <f>CLEAN("LFA")</f>
        <v>LFA</v>
      </c>
      <c r="H415" t="str">
        <f>CLEAN("NONLET CONSTR/REAL ESTATE")</f>
        <v>NONLET CONSTR/REAL ESTATE</v>
      </c>
      <c r="I415" t="str">
        <f>CLEAN("LFA/ REPLACE PIPE                  ")</f>
        <v xml:space="preserve">LFA/ REPLACE PIPE                  </v>
      </c>
      <c r="J415" t="str">
        <f>CLEAN("STH 073")</f>
        <v>STH 073</v>
      </c>
      <c r="K415" t="str">
        <f>CLEAN("DANE                          ")</f>
        <v xml:space="preserve">DANE                          </v>
      </c>
      <c r="L415" t="str">
        <f>CLEAN("I39 - COLUMBUS                     ")</f>
        <v xml:space="preserve">I39 - COLUMBUS                     </v>
      </c>
      <c r="M415" t="str">
        <f>CLEAN("SOUTH OF YORK CENTER ROAD          ")</f>
        <v xml:space="preserve">SOUTH OF YORK CENTER ROAD          </v>
      </c>
      <c r="N415">
        <v>9.64</v>
      </c>
      <c r="O415" t="str">
        <f t="shared" si="132"/>
        <v xml:space="preserve">          </v>
      </c>
      <c r="P415" t="str">
        <f t="shared" si="136"/>
        <v xml:space="preserve">STATE 3R                                                                                            </v>
      </c>
    </row>
    <row r="416" spans="1:16" x14ac:dyDescent="0.25">
      <c r="A416" t="str">
        <f t="shared" si="127"/>
        <v>10</v>
      </c>
      <c r="B416" t="str">
        <f t="shared" si="134"/>
        <v>21</v>
      </c>
      <c r="C416" s="1">
        <v>45285</v>
      </c>
      <c r="D416" t="str">
        <f>CLEAN("3080-01-28")</f>
        <v>3080-01-28</v>
      </c>
      <c r="E416" t="str">
        <f t="shared" si="135"/>
        <v xml:space="preserve">303  </v>
      </c>
      <c r="F416" t="str">
        <f>CLEAN("$0 - $99,999             ")</f>
        <v xml:space="preserve">$0 - $99,999             </v>
      </c>
      <c r="G416" t="str">
        <f>CLEAN("R/E")</f>
        <v>R/E</v>
      </c>
      <c r="H416" t="str">
        <f>CLEAN("NONLET CONSTR/REAL ESTATE")</f>
        <v>NONLET CONSTR/REAL ESTATE</v>
      </c>
      <c r="I416" t="str">
        <f>CLEAN("RE OPS/ 3080-01-78/ RECST          ")</f>
        <v xml:space="preserve">RE OPS/ 3080-01-78/ RECST          </v>
      </c>
      <c r="J416" t="str">
        <f>CLEAN("USH 012")</f>
        <v>USH 012</v>
      </c>
      <c r="K416" t="str">
        <f>CLEAN("DANE                          ")</f>
        <v xml:space="preserve">DANE                          </v>
      </c>
      <c r="L416" t="str">
        <f>CLEAN("MADISON - CAMBRIDGE                ")</f>
        <v xml:space="preserve">MADISON - CAMBRIDGE                </v>
      </c>
      <c r="M416" t="str">
        <f>CLEAN("CTH W/OAK PARK ROAD INTERSECTION   ")</f>
        <v xml:space="preserve">CTH W/OAK PARK ROAD INTERSECTION   </v>
      </c>
      <c r="N416">
        <v>0.218</v>
      </c>
      <c r="O416" t="str">
        <f t="shared" si="132"/>
        <v xml:space="preserve">          </v>
      </c>
      <c r="P416" t="str">
        <f t="shared" si="136"/>
        <v xml:space="preserve">STATE 3R                                                                                            </v>
      </c>
    </row>
    <row r="417" spans="1:16" x14ac:dyDescent="0.25">
      <c r="A417" t="str">
        <f t="shared" si="127"/>
        <v>10</v>
      </c>
      <c r="B417" t="str">
        <f t="shared" si="134"/>
        <v>21</v>
      </c>
      <c r="C417" s="1">
        <v>45545</v>
      </c>
      <c r="D417" t="str">
        <f>CLEAN("3080-09-84")</f>
        <v>3080-09-84</v>
      </c>
      <c r="E417" t="str">
        <f t="shared" si="135"/>
        <v xml:space="preserve">303  </v>
      </c>
      <c r="F417" t="str">
        <f>CLEAN("$250,000 - $499,999      ")</f>
        <v xml:space="preserve">$250,000 - $499,999      </v>
      </c>
      <c r="G417" t="str">
        <f>CLEAN("LET")</f>
        <v>LET</v>
      </c>
      <c r="H417" t="str">
        <f>CLEAN("LET CONSTRUCTION         ")</f>
        <v xml:space="preserve">LET CONSTRUCTION         </v>
      </c>
      <c r="I417" t="str">
        <f>CLEAN("CONSTRUCT/ EXPEDITED LET/ MISC     ")</f>
        <v xml:space="preserve">CONSTRUCT/ EXPEDITED LET/ MISC     </v>
      </c>
      <c r="J417" t="str">
        <f>CLEAN("USH 018")</f>
        <v>USH 018</v>
      </c>
      <c r="K417" t="str">
        <f>CLEAN("JEFFERSON                     ")</f>
        <v xml:space="preserve">JEFFERSON                     </v>
      </c>
      <c r="L417" t="str">
        <f>CLEAN("JEFFERSON - WALES                  ")</f>
        <v xml:space="preserve">JEFFERSON - WALES                  </v>
      </c>
      <c r="M417" t="str">
        <f>CLEAN("RETAINING WALL R-28-006            ")</f>
        <v xml:space="preserve">RETAINING WALL R-28-006            </v>
      </c>
      <c r="N417">
        <v>9.4E-2</v>
      </c>
      <c r="O417" t="str">
        <f t="shared" si="132"/>
        <v xml:space="preserve">          </v>
      </c>
      <c r="P417" t="str">
        <f t="shared" si="136"/>
        <v xml:space="preserve">STATE 3R                                                                                            </v>
      </c>
    </row>
    <row r="418" spans="1:16" x14ac:dyDescent="0.25">
      <c r="A418" t="str">
        <f t="shared" si="127"/>
        <v>10</v>
      </c>
      <c r="B418" t="str">
        <f>CLEAN("22")</f>
        <v>22</v>
      </c>
      <c r="C418" s="1">
        <v>45347</v>
      </c>
      <c r="D418" t="str">
        <f>CLEAN("3110-03-23")</f>
        <v>3110-03-23</v>
      </c>
      <c r="E418" t="str">
        <f t="shared" si="135"/>
        <v xml:space="preserve">303  </v>
      </c>
      <c r="F418" t="str">
        <f>CLEAN("$0 - $99,999             ")</f>
        <v xml:space="preserve">$0 - $99,999             </v>
      </c>
      <c r="G418" t="str">
        <f>CLEAN("R/E")</f>
        <v>R/E</v>
      </c>
      <c r="H418" t="str">
        <f>CLEAN("NONLET CONSTR/REAL ESTATE")</f>
        <v>NONLET CONSTR/REAL ESTATE</v>
      </c>
      <c r="I418" t="str">
        <f>CLEAN("RE/RESURFACE                       ")</f>
        <v xml:space="preserve">RE/RESURFACE                       </v>
      </c>
      <c r="J418" t="str">
        <f>CLEAN("STH 059")</f>
        <v>STH 059</v>
      </c>
      <c r="K418" t="str">
        <f>CLEAN("WALWORTH                      ")</f>
        <v xml:space="preserve">WALWORTH                      </v>
      </c>
      <c r="L418" t="str">
        <f>CLEAN("MILTON TO WHITEWATER               ")</f>
        <v xml:space="preserve">MILTON TO WHITEWATER               </v>
      </c>
      <c r="M418" t="str">
        <f>CLEAN("WCL TO WILLIS RAY ROAD             ")</f>
        <v xml:space="preserve">WCL TO WILLIS RAY ROAD             </v>
      </c>
      <c r="N418">
        <v>2.524</v>
      </c>
      <c r="O418" t="str">
        <f t="shared" si="132"/>
        <v xml:space="preserve">          </v>
      </c>
      <c r="P418" t="str">
        <f t="shared" si="136"/>
        <v xml:space="preserve">STATE 3R                                                                                            </v>
      </c>
    </row>
    <row r="419" spans="1:16" x14ac:dyDescent="0.25">
      <c r="A419" t="str">
        <f t="shared" si="127"/>
        <v>10</v>
      </c>
      <c r="B419" t="str">
        <f>CLEAN("22")</f>
        <v>22</v>
      </c>
      <c r="C419" s="1">
        <v>45285</v>
      </c>
      <c r="D419" t="str">
        <f>CLEAN("3110-08-20")</f>
        <v>3110-08-20</v>
      </c>
      <c r="E419" t="str">
        <f t="shared" si="135"/>
        <v xml:space="preserve">303  </v>
      </c>
      <c r="F419" t="str">
        <f>CLEAN("$0 - $99,999             ")</f>
        <v xml:space="preserve">$0 - $99,999             </v>
      </c>
      <c r="G419" t="str">
        <f>CLEAN("R/E")</f>
        <v>R/E</v>
      </c>
      <c r="H419" t="str">
        <f>CLEAN("NONLET CONSTR/REAL ESTATE")</f>
        <v>NONLET CONSTR/REAL ESTATE</v>
      </c>
      <c r="I419" t="str">
        <f>CLEAN("RE/RESURFACE                       ")</f>
        <v xml:space="preserve">RE/RESURFACE                       </v>
      </c>
      <c r="J419" t="str">
        <f>CLEAN("STH 059")</f>
        <v>STH 059</v>
      </c>
      <c r="K419" t="str">
        <f>CLEAN("WAUKESHA                      ")</f>
        <v xml:space="preserve">WAUKESHA                      </v>
      </c>
      <c r="L419" t="str">
        <f>CLEAN("WHITEWATER - MILWAUKEE             ")</f>
        <v xml:space="preserve">WHITEWATER - MILWAUKEE             </v>
      </c>
      <c r="M419" t="str">
        <f>CLEAN("W COUNTY LINE TO CTH X             ")</f>
        <v xml:space="preserve">W COUNTY LINE TO CTH X             </v>
      </c>
      <c r="N419">
        <v>16.524000000000001</v>
      </c>
      <c r="O419" t="str">
        <f t="shared" si="132"/>
        <v xml:space="preserve">          </v>
      </c>
      <c r="P419" t="str">
        <f t="shared" si="136"/>
        <v xml:space="preserve">STATE 3R                                                                                            </v>
      </c>
    </row>
    <row r="420" spans="1:16" x14ac:dyDescent="0.25">
      <c r="A420" t="str">
        <f t="shared" si="127"/>
        <v>10</v>
      </c>
      <c r="B420" t="str">
        <f>CLEAN("22")</f>
        <v>22</v>
      </c>
      <c r="C420" s="1">
        <v>45608</v>
      </c>
      <c r="D420" t="str">
        <f>CLEAN("3130-03-71")</f>
        <v>3130-03-71</v>
      </c>
      <c r="E420" t="str">
        <f t="shared" si="135"/>
        <v xml:space="preserve">303  </v>
      </c>
      <c r="F420" t="str">
        <f>CLEAN("$5,000,000 - $5,999,999  ")</f>
        <v xml:space="preserve">$5,000,000 - $5,999,999  </v>
      </c>
      <c r="G420" t="str">
        <f>CLEAN("LET")</f>
        <v>LET</v>
      </c>
      <c r="H420" t="str">
        <f>CLEAN("LET CONSTRUCTION         ")</f>
        <v xml:space="preserve">LET CONSTRUCTION         </v>
      </c>
      <c r="I420" t="str">
        <f>CLEAN("CONST/RESURFACE                    ")</f>
        <v xml:space="preserve">CONST/RESURFACE                    </v>
      </c>
      <c r="J420" t="str">
        <f>CLEAN("USH 012")</f>
        <v>USH 012</v>
      </c>
      <c r="K420" t="str">
        <f>CLEAN("WALWORTH                      ")</f>
        <v xml:space="preserve">WALWORTH                      </v>
      </c>
      <c r="L420" t="str">
        <f>CLEAN("WHITEWATER TO ELKHORN              ")</f>
        <v xml:space="preserve">WHITEWATER TO ELKHORN              </v>
      </c>
      <c r="M420" t="str">
        <f>CLEAN("CTH P TO STH 20/67                 ")</f>
        <v xml:space="preserve">CTH P TO STH 20/67                 </v>
      </c>
      <c r="N420">
        <v>7.64</v>
      </c>
      <c r="O420" t="str">
        <f t="shared" si="132"/>
        <v xml:space="preserve">          </v>
      </c>
      <c r="P420" t="str">
        <f t="shared" si="136"/>
        <v xml:space="preserve">STATE 3R                                                                                            </v>
      </c>
    </row>
    <row r="421" spans="1:16" x14ac:dyDescent="0.25">
      <c r="A421" t="str">
        <f t="shared" si="127"/>
        <v>10</v>
      </c>
      <c r="B421" t="str">
        <f>CLEAN("22")</f>
        <v>22</v>
      </c>
      <c r="C421" s="1">
        <v>45363</v>
      </c>
      <c r="D421" t="str">
        <f>CLEAN("3130-09-70")</f>
        <v>3130-09-70</v>
      </c>
      <c r="E421" t="str">
        <f t="shared" si="135"/>
        <v xml:space="preserve">303  </v>
      </c>
      <c r="F421" t="str">
        <f>CLEAN("$750,000 - $999,999      ")</f>
        <v xml:space="preserve">$750,000 - $999,999      </v>
      </c>
      <c r="G421" t="str">
        <f>CLEAN("LET")</f>
        <v>LET</v>
      </c>
      <c r="H421" t="str">
        <f>CLEAN("LET CONSTRUCTION         ")</f>
        <v xml:space="preserve">LET CONSTRUCTION         </v>
      </c>
      <c r="I421" t="str">
        <f>CLEAN("CONST/HSIP/RUMBLE STRIPS           ")</f>
        <v xml:space="preserve">CONST/HSIP/RUMBLE STRIPS           </v>
      </c>
      <c r="J421" t="str">
        <f>CLEAN("USH 012")</f>
        <v>USH 012</v>
      </c>
      <c r="K421" t="str">
        <f>CLEAN("WALWORTH                      ")</f>
        <v xml:space="preserve">WALWORTH                      </v>
      </c>
      <c r="L421" t="str">
        <f>CLEAN("WHITEWATER - RICHMOND              ")</f>
        <v xml:space="preserve">WHITEWATER - RICHMOND              </v>
      </c>
      <c r="M421" t="str">
        <f>CLEAN("ROCK COUNTY LINE TO COX ROAD       ")</f>
        <v xml:space="preserve">ROCK COUNTY LINE TO COX ROAD       </v>
      </c>
      <c r="N421">
        <v>4.4320000000000004</v>
      </c>
      <c r="O421" t="str">
        <f t="shared" si="132"/>
        <v xml:space="preserve">          </v>
      </c>
      <c r="P42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22" spans="1:16" x14ac:dyDescent="0.25">
      <c r="A422" t="str">
        <f t="shared" si="127"/>
        <v>10</v>
      </c>
      <c r="B422" t="str">
        <f>CLEAN("22")</f>
        <v>22</v>
      </c>
      <c r="C422" s="1">
        <v>45363</v>
      </c>
      <c r="D422" t="str">
        <f>CLEAN("3130-09-70")</f>
        <v>3130-09-70</v>
      </c>
      <c r="E422" t="str">
        <f t="shared" si="135"/>
        <v xml:space="preserve">303  </v>
      </c>
      <c r="F422" t="str">
        <f>CLEAN("$750,000 - $999,999      ")</f>
        <v xml:space="preserve">$750,000 - $999,999      </v>
      </c>
      <c r="G422" t="str">
        <f>CLEAN("LET")</f>
        <v>LET</v>
      </c>
      <c r="H422" t="str">
        <f>CLEAN("LET CONSTRUCTION         ")</f>
        <v xml:space="preserve">LET CONSTRUCTION         </v>
      </c>
      <c r="I422" t="str">
        <f>CLEAN("CONST/HSIP/RUMBLE STRIPS           ")</f>
        <v xml:space="preserve">CONST/HSIP/RUMBLE STRIPS           </v>
      </c>
      <c r="J422" t="str">
        <f>CLEAN("USH 012")</f>
        <v>USH 012</v>
      </c>
      <c r="K422" t="str">
        <f>CLEAN("WALWORTH                      ")</f>
        <v xml:space="preserve">WALWORTH                      </v>
      </c>
      <c r="L422" t="str">
        <f>CLEAN("WHITEWATER - RICHMOND              ")</f>
        <v xml:space="preserve">WHITEWATER - RICHMOND              </v>
      </c>
      <c r="M422" t="str">
        <f>CLEAN("ROCK COUNTY LINE TO COX ROAD       ")</f>
        <v xml:space="preserve">ROCK COUNTY LINE TO COX ROAD       </v>
      </c>
      <c r="N422">
        <v>4.4320000000000004</v>
      </c>
      <c r="O422" t="str">
        <f t="shared" si="132"/>
        <v xml:space="preserve">          </v>
      </c>
      <c r="P4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23" spans="1:16" x14ac:dyDescent="0.25">
      <c r="A423" t="str">
        <f t="shared" si="127"/>
        <v>10</v>
      </c>
      <c r="B423" t="str">
        <f>CLEAN("21")</f>
        <v>21</v>
      </c>
      <c r="C423" s="1">
        <v>45316</v>
      </c>
      <c r="D423" t="str">
        <f>CLEAN("3140-00-05")</f>
        <v>3140-00-05</v>
      </c>
      <c r="E423" t="str">
        <f>CLEAN("206  ")</f>
        <v xml:space="preserve">206  </v>
      </c>
      <c r="F423" t="str">
        <f>CLEAN("$0 - $99,999             ")</f>
        <v xml:space="preserve">$0 - $99,999             </v>
      </c>
      <c r="G423" t="str">
        <f>CLEAN("MIS")</f>
        <v>MIS</v>
      </c>
      <c r="H423" t="str">
        <f>CLEAN("NONLET CONSTR/REAL ESTATE")</f>
        <v>NONLET CONSTR/REAL ESTATE</v>
      </c>
      <c r="I423" t="str">
        <f>CLEAN("CONST/CARBON RED-LED LIGHTING      ")</f>
        <v xml:space="preserve">CONST/CARBON RED-LED LIGHTING      </v>
      </c>
      <c r="J423" t="str">
        <f>CLEAN("STH 059")</f>
        <v>STH 059</v>
      </c>
      <c r="K423" t="str">
        <f>CLEAN("ROCK                          ")</f>
        <v xml:space="preserve">ROCK                          </v>
      </c>
      <c r="L423" t="str">
        <f>CLEAN("C MILTON, STH 59                   ")</f>
        <v xml:space="preserve">C MILTON, STH 59                   </v>
      </c>
      <c r="M423" t="str">
        <f>CLEAN("S. JANESVILLE ST. TO STH 26        ")</f>
        <v xml:space="preserve">S. JANESVILLE ST. TO STH 26        </v>
      </c>
      <c r="N423">
        <v>0</v>
      </c>
      <c r="O423" t="str">
        <f t="shared" si="132"/>
        <v xml:space="preserve">          </v>
      </c>
      <c r="P423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424" spans="1:16" x14ac:dyDescent="0.25">
      <c r="A424" t="str">
        <f t="shared" si="127"/>
        <v>10</v>
      </c>
      <c r="B424" t="str">
        <f t="shared" ref="B424:B429" si="137">CLEAN("22")</f>
        <v>22</v>
      </c>
      <c r="C424" s="1">
        <v>45498</v>
      </c>
      <c r="D424" t="str">
        <f>CLEAN("3170-09-20")</f>
        <v>3170-09-20</v>
      </c>
      <c r="E424" t="str">
        <f t="shared" ref="E424:E439" si="138">CLEAN("303  ")</f>
        <v xml:space="preserve">303  </v>
      </c>
      <c r="F424" t="str">
        <f>CLEAN("$0 - $99,999             ")</f>
        <v xml:space="preserve">$0 - $99,999             </v>
      </c>
      <c r="G424" t="str">
        <f>CLEAN("R/E")</f>
        <v>R/E</v>
      </c>
      <c r="H424" t="str">
        <f>CLEAN("NONLET CONSTR/REAL ESTATE")</f>
        <v>NONLET CONSTR/REAL ESTATE</v>
      </c>
      <c r="I424" t="str">
        <f>CLEAN("RE/RSRF25 - RESURFACE              ")</f>
        <v xml:space="preserve">RE/RSRF25 - RESURFACE              </v>
      </c>
      <c r="J424" t="str">
        <f>CLEAN("STH 050")</f>
        <v>STH 050</v>
      </c>
      <c r="K424" t="str">
        <f>CLEAN("WALWORTH                      ")</f>
        <v xml:space="preserve">WALWORTH                      </v>
      </c>
      <c r="L424" t="str">
        <f>CLEAN("C LAKE GENEVA, W MAIN ST           ")</f>
        <v xml:space="preserve">C LAKE GENEVA, W MAIN ST           </v>
      </c>
      <c r="M424" t="str">
        <f>CLEAN("WELLS ST TO GRAND GENEVA WAY       ")</f>
        <v xml:space="preserve">WELLS ST TO GRAND GENEVA WAY       </v>
      </c>
      <c r="N424">
        <v>1.37</v>
      </c>
      <c r="O424" t="str">
        <f t="shared" si="132"/>
        <v xml:space="preserve">          </v>
      </c>
      <c r="P424" t="str">
        <f t="shared" ref="P424:P430" si="139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25" spans="1:16" x14ac:dyDescent="0.25">
      <c r="A425" t="str">
        <f t="shared" si="127"/>
        <v>10</v>
      </c>
      <c r="B425" t="str">
        <f t="shared" si="137"/>
        <v>22</v>
      </c>
      <c r="C425" s="1">
        <v>45498</v>
      </c>
      <c r="D425" t="str">
        <f>CLEAN("3170-09-21")</f>
        <v>3170-09-21</v>
      </c>
      <c r="E425" t="str">
        <f t="shared" si="138"/>
        <v xml:space="preserve">303  </v>
      </c>
      <c r="F425" t="str">
        <f>CLEAN("$0 - $99,999             ")</f>
        <v xml:space="preserve">$0 - $99,999             </v>
      </c>
      <c r="G425" t="str">
        <f>CLEAN("R/E")</f>
        <v>R/E</v>
      </c>
      <c r="H425" t="str">
        <f>CLEAN("NONLET CONSTR/REAL ESTATE")</f>
        <v>NONLET CONSTR/REAL ESTATE</v>
      </c>
      <c r="I425" t="str">
        <f>CLEAN("RE/PVRPLA                          ")</f>
        <v xml:space="preserve">RE/PVRPLA                          </v>
      </c>
      <c r="J425" t="str">
        <f>CLEAN("STH 050")</f>
        <v>STH 050</v>
      </c>
      <c r="K425" t="str">
        <f>CLEAN("WALWORTH                      ")</f>
        <v xml:space="preserve">WALWORTH                      </v>
      </c>
      <c r="L425" t="str">
        <f>CLEAN("C LAKE GENEVA, W MAIN ST           ")</f>
        <v xml:space="preserve">C LAKE GENEVA, W MAIN ST           </v>
      </c>
      <c r="M425" t="str">
        <f>CLEAN("FOREST ST TO WELLS ST              ")</f>
        <v xml:space="preserve">FOREST ST TO WELLS ST              </v>
      </c>
      <c r="N425">
        <v>1.155</v>
      </c>
      <c r="O425" t="str">
        <f t="shared" si="132"/>
        <v xml:space="preserve">          </v>
      </c>
      <c r="P425" t="str">
        <f t="shared" si="139"/>
        <v xml:space="preserve">STATE 3R                                                                                            </v>
      </c>
    </row>
    <row r="426" spans="1:16" x14ac:dyDescent="0.25">
      <c r="A426" t="str">
        <f t="shared" si="127"/>
        <v>10</v>
      </c>
      <c r="B426" t="str">
        <f t="shared" si="137"/>
        <v>22</v>
      </c>
      <c r="C426" s="1">
        <v>45335</v>
      </c>
      <c r="D426" t="str">
        <f>CLEAN("3190-11-70")</f>
        <v>3190-11-70</v>
      </c>
      <c r="E426" t="str">
        <f t="shared" si="138"/>
        <v xml:space="preserve">303  </v>
      </c>
      <c r="F426" t="str">
        <f>CLEAN("$3,000,000 - $3,999,999  ")</f>
        <v xml:space="preserve">$3,000,000 - $3,999,999  </v>
      </c>
      <c r="G426" t="str">
        <f>CLEAN("LET")</f>
        <v>LET</v>
      </c>
      <c r="H426" t="str">
        <f>CLEAN("LET CONSTRUCTION         ")</f>
        <v xml:space="preserve">LET CONSTRUCTION         </v>
      </c>
      <c r="I426" t="str">
        <f>CLEAN("CONST/RESURFACE                    ")</f>
        <v xml:space="preserve">CONST/RESURFACE                    </v>
      </c>
      <c r="J426" t="str">
        <f>CLEAN("STH 036")</f>
        <v>STH 036</v>
      </c>
      <c r="K426" t="str">
        <f>CLEAN("WALWORTH                      ")</f>
        <v xml:space="preserve">WALWORTH                      </v>
      </c>
      <c r="L426" t="str">
        <f>CLEAN("SPRINGFIELD TO BURLINGTON          ")</f>
        <v xml:space="preserve">SPRINGFIELD TO BURLINGTON          </v>
      </c>
      <c r="M426" t="str">
        <f>CLEAN("STH 120 TO STH 11                  ")</f>
        <v xml:space="preserve">STH 120 TO STH 11                  </v>
      </c>
      <c r="N426">
        <v>6.0140000000000002</v>
      </c>
      <c r="O426" t="str">
        <f t="shared" si="132"/>
        <v xml:space="preserve">          </v>
      </c>
      <c r="P426" t="str">
        <f t="shared" si="139"/>
        <v xml:space="preserve">STATE 3R                                                                                            </v>
      </c>
    </row>
    <row r="427" spans="1:16" x14ac:dyDescent="0.25">
      <c r="A427" t="str">
        <f t="shared" si="127"/>
        <v>10</v>
      </c>
      <c r="B427" t="str">
        <f t="shared" si="137"/>
        <v>22</v>
      </c>
      <c r="C427" s="1">
        <v>45545</v>
      </c>
      <c r="D427" t="str">
        <f>CLEAN("3220-09-70")</f>
        <v>3220-09-70</v>
      </c>
      <c r="E427" t="str">
        <f t="shared" si="138"/>
        <v xml:space="preserve">303  </v>
      </c>
      <c r="F427" t="str">
        <f>CLEAN("$10,000,000 - $10,999,999")</f>
        <v>$10,000,000 - $10,999,999</v>
      </c>
      <c r="G427" t="str">
        <f>CLEAN("LET")</f>
        <v>LET</v>
      </c>
      <c r="H427" t="str">
        <f>CLEAN("LET CONSTRUCTION         ")</f>
        <v xml:space="preserve">LET CONSTRUCTION         </v>
      </c>
      <c r="I427" t="str">
        <f>CLEAN("CONST/BRIDGE REPLACEMENT           ")</f>
        <v xml:space="preserve">CONST/BRIDGE REPLACEMENT           </v>
      </c>
      <c r="J427" t="str">
        <f>CLEAN("STH 158")</f>
        <v>STH 158</v>
      </c>
      <c r="K427" t="str">
        <f>CLEAN("KENOSHA                       ")</f>
        <v xml:space="preserve">KENOSHA                       </v>
      </c>
      <c r="L427" t="str">
        <f>CLEAN("52ND STREET, CITY OF KENOSHA       ")</f>
        <v xml:space="preserve">52ND STREET, CITY OF KENOSHA       </v>
      </c>
      <c r="M427" t="str">
        <f>CLEAN("RAILROAD BRIDGES B-30-0002, 0003   ")</f>
        <v xml:space="preserve">RAILROAD BRIDGES B-30-0002, 0003   </v>
      </c>
      <c r="N427">
        <v>1.31</v>
      </c>
      <c r="O427" t="str">
        <f t="shared" si="132"/>
        <v xml:space="preserve">          </v>
      </c>
      <c r="P427" t="str">
        <f t="shared" si="139"/>
        <v xml:space="preserve">STATE 3R                                                                                            </v>
      </c>
    </row>
    <row r="428" spans="1:16" x14ac:dyDescent="0.25">
      <c r="A428" t="str">
        <f t="shared" si="127"/>
        <v>10</v>
      </c>
      <c r="B428" t="str">
        <f t="shared" si="137"/>
        <v>22</v>
      </c>
      <c r="C428" s="1">
        <v>45560</v>
      </c>
      <c r="D428" t="str">
        <f>CLEAN("3240-00-23")</f>
        <v>3240-00-23</v>
      </c>
      <c r="E428" t="str">
        <f t="shared" si="138"/>
        <v xml:space="preserve">303  </v>
      </c>
      <c r="F428" t="str">
        <f>CLEAN("$1,000,000 - $1,999,999  ")</f>
        <v xml:space="preserve">$1,000,000 - $1,999,999  </v>
      </c>
      <c r="G428" t="str">
        <f>CLEAN("R/E")</f>
        <v>R/E</v>
      </c>
      <c r="H428" t="str">
        <f>CLEAN("NONLET CONSTR/REAL ESTATE")</f>
        <v>NONLET CONSTR/REAL ESTATE</v>
      </c>
      <c r="I428" t="str">
        <f>CLEAN("RE/RESURFACE                       ")</f>
        <v xml:space="preserve">RE/RESURFACE                       </v>
      </c>
      <c r="J428" t="str">
        <f>CLEAN("STH 032")</f>
        <v>STH 032</v>
      </c>
      <c r="K428" t="str">
        <f>CLEAN("KENOSHA                       ")</f>
        <v xml:space="preserve">KENOSHA                       </v>
      </c>
      <c r="L428" t="str">
        <f>CLEAN("SHERIDAN ROAD                      ")</f>
        <v xml:space="preserve">SHERIDAN ROAD                      </v>
      </c>
      <c r="M428" t="str">
        <f>CLEAN("ALFORD PARK DRIVE TO 21ST STREET   ")</f>
        <v xml:space="preserve">ALFORD PARK DRIVE TO 21ST STREET   </v>
      </c>
      <c r="N428">
        <v>5.74</v>
      </c>
      <c r="O428" t="str">
        <f t="shared" si="132"/>
        <v xml:space="preserve">          </v>
      </c>
      <c r="P428" t="str">
        <f t="shared" si="139"/>
        <v xml:space="preserve">STATE 3R                                                                                            </v>
      </c>
    </row>
    <row r="429" spans="1:16" x14ac:dyDescent="0.25">
      <c r="A429" t="str">
        <f t="shared" si="127"/>
        <v>10</v>
      </c>
      <c r="B429" t="str">
        <f t="shared" si="137"/>
        <v>22</v>
      </c>
      <c r="C429" s="1">
        <v>45363</v>
      </c>
      <c r="D429" t="str">
        <f>CLEAN("3310-06-70")</f>
        <v>3310-06-70</v>
      </c>
      <c r="E429" t="str">
        <f t="shared" si="138"/>
        <v xml:space="preserve">303  </v>
      </c>
      <c r="F429" t="str">
        <f>CLEAN("$1,000,000 - $1,999,999  ")</f>
        <v xml:space="preserve">$1,000,000 - $1,999,999  </v>
      </c>
      <c r="G429" t="str">
        <f>CLEAN("LET")</f>
        <v>LET</v>
      </c>
      <c r="H429" t="str">
        <f>CLEAN("LET CONSTRUCTION         ")</f>
        <v xml:space="preserve">LET CONSTRUCTION         </v>
      </c>
      <c r="I429" t="str">
        <f>CLEAN("CONST/RESURFACING                  ")</f>
        <v xml:space="preserve">CONST/RESURFACING                  </v>
      </c>
      <c r="J429" t="str">
        <f>CLEAN("STH 016")</f>
        <v>STH 016</v>
      </c>
      <c r="K429" t="str">
        <f>CLEAN("WAUKESHA                      ")</f>
        <v xml:space="preserve">WAUKESHA                      </v>
      </c>
      <c r="L429" t="str">
        <f>CLEAN("WATERTOWN - WAUKESHA               ")</f>
        <v xml:space="preserve">WATERTOWN - WAUKESHA               </v>
      </c>
      <c r="M429" t="str">
        <f>CLEAN("WCL TO STH 67                      ")</f>
        <v xml:space="preserve">WCL TO STH 67                      </v>
      </c>
      <c r="N429">
        <v>1.5940000000000001</v>
      </c>
      <c r="O429" t="str">
        <f>CLEAN("1370-00-74")</f>
        <v>1370-00-74</v>
      </c>
      <c r="P429" t="str">
        <f t="shared" si="139"/>
        <v xml:space="preserve">STATE 3R                                                                                            </v>
      </c>
    </row>
    <row r="430" spans="1:16" x14ac:dyDescent="0.25">
      <c r="A430" t="str">
        <f t="shared" si="127"/>
        <v>10</v>
      </c>
      <c r="B430" t="str">
        <f t="shared" ref="B430:B435" si="140">CLEAN("21")</f>
        <v>21</v>
      </c>
      <c r="C430" s="1">
        <v>45316</v>
      </c>
      <c r="D430" t="str">
        <f>CLEAN("3320-02-40")</f>
        <v>3320-02-40</v>
      </c>
      <c r="E430" t="str">
        <f t="shared" si="138"/>
        <v xml:space="preserve">303  </v>
      </c>
      <c r="F430" t="str">
        <f>CLEAN("$1,000,000 - $1,999,999  ")</f>
        <v xml:space="preserve">$1,000,000 - $1,999,999  </v>
      </c>
      <c r="G430" t="str">
        <f>CLEAN("UTL")</f>
        <v>UTL</v>
      </c>
      <c r="H430" t="str">
        <f>CLEAN("NONLET CONSTR/REAL ESTATE")</f>
        <v>NONLET CONSTR/REAL ESTATE</v>
      </c>
      <c r="I430" t="str">
        <f>CLEAN("UTL/3320-02-70                     ")</f>
        <v xml:space="preserve">UTL/3320-02-70                     </v>
      </c>
      <c r="J430" t="str">
        <f t="shared" ref="J430:J435" si="141">CLEAN("STH 140")</f>
        <v>STH 140</v>
      </c>
      <c r="K430" t="str">
        <f t="shared" ref="K430:K435" si="142">CLEAN("ROCK                          ")</f>
        <v xml:space="preserve">ROCK                          </v>
      </c>
      <c r="L430" t="str">
        <f t="shared" ref="L430:L435" si="143">CLEAN("BERGEN - EMERALD GROVE             ")</f>
        <v xml:space="preserve">BERGEN - EMERALD GROVE             </v>
      </c>
      <c r="M430" t="str">
        <f>CLEAN("ILLINOIS STATE LINE TO V CLINTON   ")</f>
        <v xml:space="preserve">ILLINOIS STATE LINE TO V CLINTON   </v>
      </c>
      <c r="N430">
        <v>4.0039999999999996</v>
      </c>
      <c r="O430" t="str">
        <f t="shared" ref="O430:O461" si="144">CLEAN("          ")</f>
        <v xml:space="preserve">          </v>
      </c>
      <c r="P430" t="str">
        <f t="shared" si="139"/>
        <v xml:space="preserve">STATE 3R                                                                                            </v>
      </c>
    </row>
    <row r="431" spans="1:16" x14ac:dyDescent="0.25">
      <c r="A431" t="str">
        <f t="shared" si="127"/>
        <v>10</v>
      </c>
      <c r="B431" t="str">
        <f t="shared" si="140"/>
        <v>21</v>
      </c>
      <c r="C431" s="1">
        <v>45545</v>
      </c>
      <c r="D431" t="str">
        <f>CLEAN("3320-02-70")</f>
        <v>3320-02-70</v>
      </c>
      <c r="E431" t="str">
        <f t="shared" si="138"/>
        <v xml:space="preserve">303  </v>
      </c>
      <c r="F431" t="str">
        <f>CLEAN("$8,000,000 - $8,999,999  ")</f>
        <v xml:space="preserve">$8,000,000 - $8,999,999  </v>
      </c>
      <c r="G431" t="str">
        <f>CLEAN("LET")</f>
        <v>LET</v>
      </c>
      <c r="H431" t="str">
        <f>CLEAN("LET CONSTRUCTION         ")</f>
        <v xml:space="preserve">LET CONSTRUCTION         </v>
      </c>
      <c r="I431" t="str">
        <f>CLEAN("CONST/ RECONSTRUCT                 ")</f>
        <v xml:space="preserve">CONST/ RECONSTRUCT                 </v>
      </c>
      <c r="J431" t="str">
        <f t="shared" si="141"/>
        <v>STH 140</v>
      </c>
      <c r="K431" t="str">
        <f t="shared" si="142"/>
        <v xml:space="preserve">ROCK                          </v>
      </c>
      <c r="L431" t="str">
        <f t="shared" si="143"/>
        <v xml:space="preserve">BERGEN - EMERALD GROVE             </v>
      </c>
      <c r="M431" t="str">
        <f>CLEAN("ILLINOIS STATE LINE TO V CLINTON   ")</f>
        <v xml:space="preserve">ILLINOIS STATE LINE TO V CLINTON   </v>
      </c>
      <c r="N431">
        <v>4.0039999999999996</v>
      </c>
      <c r="O431" t="str">
        <f t="shared" si="144"/>
        <v xml:space="preserve">          </v>
      </c>
      <c r="P43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32" spans="1:16" x14ac:dyDescent="0.25">
      <c r="A432" t="str">
        <f t="shared" si="127"/>
        <v>10</v>
      </c>
      <c r="B432" t="str">
        <f t="shared" si="140"/>
        <v>21</v>
      </c>
      <c r="C432" s="1">
        <v>45545</v>
      </c>
      <c r="D432" t="str">
        <f>CLEAN("3320-02-70")</f>
        <v>3320-02-70</v>
      </c>
      <c r="E432" t="str">
        <f t="shared" si="138"/>
        <v xml:space="preserve">303  </v>
      </c>
      <c r="F432" t="str">
        <f>CLEAN("$8,000,000 - $8,999,999  ")</f>
        <v xml:space="preserve">$8,000,000 - $8,999,999  </v>
      </c>
      <c r="G432" t="str">
        <f>CLEAN("LET")</f>
        <v>LET</v>
      </c>
      <c r="H432" t="str">
        <f>CLEAN("LET CONSTRUCTION         ")</f>
        <v xml:space="preserve">LET CONSTRUCTION         </v>
      </c>
      <c r="I432" t="str">
        <f>CLEAN("CONST/ RECONSTRUCT                 ")</f>
        <v xml:space="preserve">CONST/ RECONSTRUCT                 </v>
      </c>
      <c r="J432" t="str">
        <f t="shared" si="141"/>
        <v>STH 140</v>
      </c>
      <c r="K432" t="str">
        <f t="shared" si="142"/>
        <v xml:space="preserve">ROCK                          </v>
      </c>
      <c r="L432" t="str">
        <f t="shared" si="143"/>
        <v xml:space="preserve">BERGEN - EMERALD GROVE             </v>
      </c>
      <c r="M432" t="str">
        <f>CLEAN("ILLINOIS STATE LINE TO V CLINTON   ")</f>
        <v xml:space="preserve">ILLINOIS STATE LINE TO V CLINTON   </v>
      </c>
      <c r="N432">
        <v>4.0039999999999996</v>
      </c>
      <c r="O432" t="str">
        <f t="shared" si="144"/>
        <v xml:space="preserve">          </v>
      </c>
      <c r="P43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33" spans="1:16" x14ac:dyDescent="0.25">
      <c r="A433" t="str">
        <f t="shared" si="127"/>
        <v>10</v>
      </c>
      <c r="B433" t="str">
        <f t="shared" si="140"/>
        <v>21</v>
      </c>
      <c r="C433" s="1">
        <v>45608</v>
      </c>
      <c r="D433" t="str">
        <f>CLEAN("3320-02-71")</f>
        <v>3320-02-71</v>
      </c>
      <c r="E433" t="str">
        <f t="shared" si="138"/>
        <v xml:space="preserve">303  </v>
      </c>
      <c r="F433" t="str">
        <f>CLEAN("$3,000,000 - $3,999,999  ")</f>
        <v xml:space="preserve">$3,000,000 - $3,999,999  </v>
      </c>
      <c r="G433" t="str">
        <f>CLEAN("LET")</f>
        <v>LET</v>
      </c>
      <c r="H433" t="str">
        <f>CLEAN("LET CONSTRUCTION         ")</f>
        <v xml:space="preserve">LET CONSTRUCTION         </v>
      </c>
      <c r="I433" t="str">
        <f>CLEAN("CONST/ MILL AND OVERLAY            ")</f>
        <v xml:space="preserve">CONST/ MILL AND OVERLAY            </v>
      </c>
      <c r="J433" t="str">
        <f t="shared" si="141"/>
        <v>STH 140</v>
      </c>
      <c r="K433" t="str">
        <f t="shared" si="142"/>
        <v xml:space="preserve">ROCK                          </v>
      </c>
      <c r="L433" t="str">
        <f t="shared" si="143"/>
        <v xml:space="preserve">BERGEN - EMERALD GROVE             </v>
      </c>
      <c r="M433" t="str">
        <f>CLEAN("0.17 MI N OGDEN AVENUE TO USH 14   ")</f>
        <v xml:space="preserve">0.17 MI N OGDEN AVENUE TO USH 14   </v>
      </c>
      <c r="N433">
        <v>6.2119999999999997</v>
      </c>
      <c r="O433" t="str">
        <f t="shared" si="144"/>
        <v xml:space="preserve">          </v>
      </c>
      <c r="P43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434" spans="1:16" x14ac:dyDescent="0.25">
      <c r="A434" t="str">
        <f t="shared" si="127"/>
        <v>10</v>
      </c>
      <c r="B434" t="str">
        <f t="shared" si="140"/>
        <v>21</v>
      </c>
      <c r="C434" s="1">
        <v>45608</v>
      </c>
      <c r="D434" t="str">
        <f>CLEAN("3320-02-71")</f>
        <v>3320-02-71</v>
      </c>
      <c r="E434" t="str">
        <f t="shared" si="138"/>
        <v xml:space="preserve">303  </v>
      </c>
      <c r="F434" t="str">
        <f>CLEAN("$3,000,000 - $3,999,999  ")</f>
        <v xml:space="preserve">$3,000,000 - $3,999,999  </v>
      </c>
      <c r="G434" t="str">
        <f>CLEAN("LET")</f>
        <v>LET</v>
      </c>
      <c r="H434" t="str">
        <f>CLEAN("LET CONSTRUCTION         ")</f>
        <v xml:space="preserve">LET CONSTRUCTION         </v>
      </c>
      <c r="I434" t="str">
        <f>CLEAN("CONST/ MILL AND OVERLAY            ")</f>
        <v xml:space="preserve">CONST/ MILL AND OVERLAY            </v>
      </c>
      <c r="J434" t="str">
        <f t="shared" si="141"/>
        <v>STH 140</v>
      </c>
      <c r="K434" t="str">
        <f t="shared" si="142"/>
        <v xml:space="preserve">ROCK                          </v>
      </c>
      <c r="L434" t="str">
        <f t="shared" si="143"/>
        <v xml:space="preserve">BERGEN - EMERALD GROVE             </v>
      </c>
      <c r="M434" t="str">
        <f>CLEAN("0.17 MI N OGDEN AVENUE TO USH 14   ")</f>
        <v xml:space="preserve">0.17 MI N OGDEN AVENUE TO USH 14   </v>
      </c>
      <c r="N434">
        <v>6.2119999999999997</v>
      </c>
      <c r="O434" t="str">
        <f t="shared" si="144"/>
        <v xml:space="preserve">          </v>
      </c>
      <c r="P43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35" spans="1:16" x14ac:dyDescent="0.25">
      <c r="A435" t="str">
        <f t="shared" si="127"/>
        <v>10</v>
      </c>
      <c r="B435" t="str">
        <f t="shared" si="140"/>
        <v>21</v>
      </c>
      <c r="C435" s="1">
        <v>45608</v>
      </c>
      <c r="D435" t="str">
        <f>CLEAN("3320-02-71")</f>
        <v>3320-02-71</v>
      </c>
      <c r="E435" t="str">
        <f t="shared" si="138"/>
        <v xml:space="preserve">303  </v>
      </c>
      <c r="F435" t="str">
        <f>CLEAN("$3,000,000 - $3,999,999  ")</f>
        <v xml:space="preserve">$3,000,000 - $3,999,999  </v>
      </c>
      <c r="G435" t="str">
        <f>CLEAN("LET")</f>
        <v>LET</v>
      </c>
      <c r="H435" t="str">
        <f>CLEAN("LET CONSTRUCTION         ")</f>
        <v xml:space="preserve">LET CONSTRUCTION         </v>
      </c>
      <c r="I435" t="str">
        <f>CLEAN("CONST/ MILL AND OVERLAY            ")</f>
        <v xml:space="preserve">CONST/ MILL AND OVERLAY            </v>
      </c>
      <c r="J435" t="str">
        <f t="shared" si="141"/>
        <v>STH 140</v>
      </c>
      <c r="K435" t="str">
        <f t="shared" si="142"/>
        <v xml:space="preserve">ROCK                          </v>
      </c>
      <c r="L435" t="str">
        <f t="shared" si="143"/>
        <v xml:space="preserve">BERGEN - EMERALD GROVE             </v>
      </c>
      <c r="M435" t="str">
        <f>CLEAN("0.17 MI N OGDEN AVENUE TO USH 14   ")</f>
        <v xml:space="preserve">0.17 MI N OGDEN AVENUE TO USH 14   </v>
      </c>
      <c r="N435">
        <v>6.2119999999999997</v>
      </c>
      <c r="O435" t="str">
        <f t="shared" si="144"/>
        <v xml:space="preserve">          </v>
      </c>
      <c r="P4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36" spans="1:16" x14ac:dyDescent="0.25">
      <c r="A436" t="str">
        <f t="shared" si="127"/>
        <v>10</v>
      </c>
      <c r="B436" t="str">
        <f>CLEAN("22")</f>
        <v>22</v>
      </c>
      <c r="C436" s="1">
        <v>45529</v>
      </c>
      <c r="D436" t="str">
        <f>CLEAN("3325-08-20")</f>
        <v>3325-08-20</v>
      </c>
      <c r="E436" t="str">
        <f t="shared" si="138"/>
        <v xml:space="preserve">303  </v>
      </c>
      <c r="F436" t="str">
        <f>CLEAN("$100,000-$249,999        ")</f>
        <v xml:space="preserve">$100,000-$249,999        </v>
      </c>
      <c r="G436" t="str">
        <f>CLEAN("R/E")</f>
        <v>R/E</v>
      </c>
      <c r="H436" t="str">
        <f>CLEAN("NONLET CONSTR/REAL ESTATE")</f>
        <v>NONLET CONSTR/REAL ESTATE</v>
      </c>
      <c r="I436" t="str">
        <f>CLEAN("RE/RSRF25                          ")</f>
        <v xml:space="preserve">RE/RSRF25                          </v>
      </c>
      <c r="J436" t="str">
        <f>CLEAN("STH 067")</f>
        <v>STH 067</v>
      </c>
      <c r="K436" t="str">
        <f>CLEAN("WALWORTH                      ")</f>
        <v xml:space="preserve">WALWORTH                      </v>
      </c>
      <c r="L436" t="str">
        <f>CLEAN("BELOIT - ELKHORN                   ")</f>
        <v xml:space="preserve">BELOIT - ELKHORN                   </v>
      </c>
      <c r="M436" t="str">
        <f>CLEAN("MAIN ST TO THEATRE RD              ")</f>
        <v xml:space="preserve">MAIN ST TO THEATRE RD              </v>
      </c>
      <c r="N436">
        <v>3.7789999999999999</v>
      </c>
      <c r="O436" t="str">
        <f t="shared" si="144"/>
        <v xml:space="preserve">          </v>
      </c>
      <c r="P4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37" spans="1:16" x14ac:dyDescent="0.25">
      <c r="A437" t="str">
        <f t="shared" si="127"/>
        <v>10</v>
      </c>
      <c r="B437" t="str">
        <f>CLEAN("21")</f>
        <v>21</v>
      </c>
      <c r="C437" s="1">
        <v>45300</v>
      </c>
      <c r="D437" t="str">
        <f>CLEAN("3364-00-75")</f>
        <v>3364-00-75</v>
      </c>
      <c r="E437" t="str">
        <f t="shared" si="138"/>
        <v xml:space="preserve">303  </v>
      </c>
      <c r="F437" t="str">
        <f>CLEAN("$1,000,000 - $1,999,999  ")</f>
        <v xml:space="preserve">$1,000,000 - $1,999,999  </v>
      </c>
      <c r="G437" t="str">
        <f>CLEAN("LET")</f>
        <v>LET</v>
      </c>
      <c r="H437" t="str">
        <f>CLEAN("LET CONSTRUCTION         ")</f>
        <v xml:space="preserve">LET CONSTRUCTION         </v>
      </c>
      <c r="I437" t="str">
        <f>CLEAN("CONST/ MILL AND OVERLAY            ")</f>
        <v xml:space="preserve">CONST/ MILL AND OVERLAY            </v>
      </c>
      <c r="J437" t="str">
        <f>CLEAN("STH 067")</f>
        <v>STH 067</v>
      </c>
      <c r="K437" t="str">
        <f>CLEAN("DODGE                         ")</f>
        <v xml:space="preserve">DODGE                         </v>
      </c>
      <c r="L437" t="str">
        <f>CLEAN("MAYVILLE - CAMPBELLSPORT           ")</f>
        <v xml:space="preserve">MAYVILLE - CAMPBELLSPORT           </v>
      </c>
      <c r="M437" t="str">
        <f>CLEAN("STH 28 TO STH 175                  ")</f>
        <v xml:space="preserve">STH 28 TO STH 175                  </v>
      </c>
      <c r="N437">
        <v>3.46</v>
      </c>
      <c r="O437" t="str">
        <f t="shared" si="144"/>
        <v xml:space="preserve">          </v>
      </c>
      <c r="P4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38" spans="1:16" x14ac:dyDescent="0.25">
      <c r="A438" t="str">
        <f t="shared" si="127"/>
        <v>10</v>
      </c>
      <c r="B438" t="str">
        <f>CLEAN("22")</f>
        <v>22</v>
      </c>
      <c r="C438" s="1">
        <v>45498</v>
      </c>
      <c r="D438" t="str">
        <f>CLEAN("3390-08-20")</f>
        <v>3390-08-20</v>
      </c>
      <c r="E438" t="str">
        <f t="shared" si="138"/>
        <v xml:space="preserve">303  </v>
      </c>
      <c r="F438" t="str">
        <f>CLEAN("$0 - $99,999             ")</f>
        <v xml:space="preserve">$0 - $99,999             </v>
      </c>
      <c r="G438" t="str">
        <f>CLEAN("R/E")</f>
        <v>R/E</v>
      </c>
      <c r="H438" t="str">
        <f>CLEAN("NONLET CONSTR/REAL ESTATE")</f>
        <v>NONLET CONSTR/REAL ESTATE</v>
      </c>
      <c r="I438" t="str">
        <f>CLEAN("RE/RSRF 30                         ")</f>
        <v xml:space="preserve">RE/RSRF 30                         </v>
      </c>
      <c r="J438" t="str">
        <f>CLEAN("STH 089")</f>
        <v>STH 089</v>
      </c>
      <c r="K438" t="str">
        <f>CLEAN("WALWORTH                      ")</f>
        <v xml:space="preserve">WALWORTH                      </v>
      </c>
      <c r="L438" t="str">
        <f>CLEAN("RICHMOND - WHITEWATER              ")</f>
        <v xml:space="preserve">RICHMOND - WHITEWATER              </v>
      </c>
      <c r="M438" t="str">
        <f>CLEAN("CTH A TO STH 11                    ")</f>
        <v xml:space="preserve">CTH A TO STH 11                    </v>
      </c>
      <c r="N438">
        <v>4.5270000000000001</v>
      </c>
      <c r="O438" t="str">
        <f t="shared" si="144"/>
        <v xml:space="preserve">          </v>
      </c>
      <c r="P4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39" spans="1:16" x14ac:dyDescent="0.25">
      <c r="A439" t="str">
        <f t="shared" si="127"/>
        <v>10</v>
      </c>
      <c r="B439" t="str">
        <f>CLEAN("21")</f>
        <v>21</v>
      </c>
      <c r="C439" s="1">
        <v>45498</v>
      </c>
      <c r="D439" t="str">
        <f>CLEAN("3576-01-22")</f>
        <v>3576-01-22</v>
      </c>
      <c r="E439" t="str">
        <f t="shared" si="138"/>
        <v xml:space="preserve">303  </v>
      </c>
      <c r="F439" t="str">
        <f>CLEAN("$0 - $99,999             ")</f>
        <v xml:space="preserve">$0 - $99,999             </v>
      </c>
      <c r="G439" t="str">
        <f>CLEAN("R/E")</f>
        <v>R/E</v>
      </c>
      <c r="H439" t="str">
        <f>CLEAN("NONLET CONSTR/REAL ESTATE")</f>
        <v>NONLET CONSTR/REAL ESTATE</v>
      </c>
      <c r="I439" t="str">
        <f>CLEAN("RE/ PVRPLA/ CONST 3576-01-72       ")</f>
        <v xml:space="preserve">RE/ PVRPLA/ CONST 3576-01-72       </v>
      </c>
      <c r="J439" t="str">
        <f>CLEAN("STH 106")</f>
        <v>STH 106</v>
      </c>
      <c r="K439" t="str">
        <f>CLEAN("JEFFERSON                     ")</f>
        <v xml:space="preserve">JEFFERSON                     </v>
      </c>
      <c r="L439" t="str">
        <f>CLEAN("C FORT ATKINSON, RIVERSIDE DRIVE   ")</f>
        <v xml:space="preserve">C FORT ATKINSON, RIVERSIDE DRIVE   </v>
      </c>
      <c r="M439" t="str">
        <f>CLEAN("PARK DRIVE TO ROBERT STREET        ")</f>
        <v xml:space="preserve">PARK DRIVE TO ROBERT STREET        </v>
      </c>
      <c r="N439">
        <v>0.85</v>
      </c>
      <c r="O439" t="str">
        <f t="shared" si="144"/>
        <v xml:space="preserve">          </v>
      </c>
      <c r="P4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40" spans="1:16" x14ac:dyDescent="0.25">
      <c r="A440" t="str">
        <f t="shared" ref="A440:A503" si="145">CLEAN("10")</f>
        <v>10</v>
      </c>
      <c r="B440" t="str">
        <f>CLEAN("21")</f>
        <v>21</v>
      </c>
      <c r="C440" s="1">
        <v>45608</v>
      </c>
      <c r="D440" t="str">
        <f>CLEAN("3631-00-72")</f>
        <v>3631-00-72</v>
      </c>
      <c r="E440" t="str">
        <f>CLEAN("206  ")</f>
        <v xml:space="preserve">206  </v>
      </c>
      <c r="F440" t="str">
        <f>CLEAN("$500,000 - $749,999      ")</f>
        <v xml:space="preserve">$500,000 - $749,999      </v>
      </c>
      <c r="G440" t="str">
        <f>CLEAN("LET")</f>
        <v>LET</v>
      </c>
      <c r="H440" t="str">
        <f>CLEAN("LET CONSTRUCTION         ")</f>
        <v xml:space="preserve">LET CONSTRUCTION         </v>
      </c>
      <c r="I440" t="str">
        <f>CLEAN("CONST OPS/PAVEMENT REPLACEMENT     ")</f>
        <v xml:space="preserve">CONST OPS/PAVEMENT REPLACEMENT     </v>
      </c>
      <c r="J440" t="str">
        <f>CLEAN("LOC STR")</f>
        <v>LOC STR</v>
      </c>
      <c r="K440" t="str">
        <f>CLEAN("JEFFERSON                     ")</f>
        <v xml:space="preserve">JEFFERSON                     </v>
      </c>
      <c r="L440" t="str">
        <f>CLEAN("TOWN OF COLD SPRING, HOWARD AVENUE ")</f>
        <v xml:space="preserve">TOWN OF COLD SPRING, HOWARD AVENUE </v>
      </c>
      <c r="M440" t="str">
        <f>CLEAN("WALWORTH CO LINE TO STH 59         ")</f>
        <v xml:space="preserve">WALWORTH CO LINE TO STH 59         </v>
      </c>
      <c r="N440">
        <v>1.01</v>
      </c>
      <c r="O440" t="str">
        <f t="shared" si="144"/>
        <v xml:space="preserve">          </v>
      </c>
      <c r="P440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441" spans="1:16" x14ac:dyDescent="0.25">
      <c r="A441" t="str">
        <f t="shared" si="145"/>
        <v>10</v>
      </c>
      <c r="B441" t="str">
        <f>CLEAN("21")</f>
        <v>21</v>
      </c>
      <c r="C441" s="1">
        <v>45608</v>
      </c>
      <c r="D441" t="str">
        <f>CLEAN("3658-00-70")</f>
        <v>3658-00-70</v>
      </c>
      <c r="E441" t="str">
        <f>CLEAN("206  ")</f>
        <v xml:space="preserve">206  </v>
      </c>
      <c r="F441" t="str">
        <f>CLEAN("$2,000,000 - $2,999,999  ")</f>
        <v xml:space="preserve">$2,000,000 - $2,999,999  </v>
      </c>
      <c r="G441" t="str">
        <f>CLEAN("LET")</f>
        <v>LET</v>
      </c>
      <c r="H441" t="str">
        <f>CLEAN("LET CONSTRUCTION         ")</f>
        <v xml:space="preserve">LET CONSTRUCTION         </v>
      </c>
      <c r="I441" t="str">
        <f>CLEAN("CONST OPS/PVRP_O                   ")</f>
        <v xml:space="preserve">CONST OPS/PVRP_O                   </v>
      </c>
      <c r="J441" t="str">
        <f>CLEAN("CTH N  ")</f>
        <v xml:space="preserve">CTH N  </v>
      </c>
      <c r="K441" t="str">
        <f>CLEAN("ROCK                          ")</f>
        <v xml:space="preserve">ROCK                          </v>
      </c>
      <c r="L441" t="str">
        <f>CLEAN("STH 59 - STH 26 (CTH N)            ")</f>
        <v xml:space="preserve">STH 59 - STH 26 (CTH N)            </v>
      </c>
      <c r="M441" t="str">
        <f>CLEAN("STH 59 TO NORTH MILTON ROAD        ")</f>
        <v xml:space="preserve">STH 59 TO NORTH MILTON ROAD        </v>
      </c>
      <c r="N441">
        <v>2.62</v>
      </c>
      <c r="O441" t="str">
        <f t="shared" si="144"/>
        <v xml:space="preserve">          </v>
      </c>
      <c r="P44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442" spans="1:16" x14ac:dyDescent="0.25">
      <c r="A442" t="str">
        <f t="shared" si="145"/>
        <v>10</v>
      </c>
      <c r="B442" t="str">
        <f>CLEAN("21")</f>
        <v>21</v>
      </c>
      <c r="C442" s="1">
        <v>45272</v>
      </c>
      <c r="D442" t="str">
        <f>CLEAN("3670-00-74")</f>
        <v>3670-00-74</v>
      </c>
      <c r="E442" t="str">
        <f>CLEAN("303  ")</f>
        <v xml:space="preserve">303  </v>
      </c>
      <c r="F442" t="str">
        <f>CLEAN("$3,000,000 - $3,999,999  ")</f>
        <v xml:space="preserve">$3,000,000 - $3,999,999  </v>
      </c>
      <c r="G442" t="str">
        <f>CLEAN("LET")</f>
        <v>LET</v>
      </c>
      <c r="H442" t="str">
        <f>CLEAN("LET CONSTRUCTION         ")</f>
        <v xml:space="preserve">LET CONSTRUCTION         </v>
      </c>
      <c r="I442" t="str">
        <f>CLEAN("CONST/MILL &amp; OVERLAY/RSRF          ")</f>
        <v xml:space="preserve">CONST/MILL &amp; OVERLAY/RSRF          </v>
      </c>
      <c r="J442" t="str">
        <f>CLEAN("STH 089")</f>
        <v>STH 089</v>
      </c>
      <c r="K442" t="str">
        <f>CLEAN("DANE                          ")</f>
        <v xml:space="preserve">DANE                          </v>
      </c>
      <c r="L442" t="str">
        <f>CLEAN("LAKE MILLS - COLUMBUS              ")</f>
        <v xml:space="preserve">LAKE MILLS - COLUMBUS              </v>
      </c>
      <c r="M442" t="str">
        <f>CLEAN("CLARKSON ROAD TO AVALON ROAD       ")</f>
        <v xml:space="preserve">CLARKSON ROAD TO AVALON ROAD       </v>
      </c>
      <c r="N442">
        <v>9.6430000000000007</v>
      </c>
      <c r="O442" t="str">
        <f t="shared" si="144"/>
        <v xml:space="preserve">          </v>
      </c>
      <c r="P44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43" spans="1:16" x14ac:dyDescent="0.25">
      <c r="A443" t="str">
        <f t="shared" si="145"/>
        <v>10</v>
      </c>
      <c r="B443" t="str">
        <f>CLEAN("21")</f>
        <v>21</v>
      </c>
      <c r="C443" s="1">
        <v>45545</v>
      </c>
      <c r="D443" t="str">
        <f>CLEAN("3678-00-70")</f>
        <v>3678-00-70</v>
      </c>
      <c r="E443" t="str">
        <f>CLEAN("205  ")</f>
        <v xml:space="preserve">205  </v>
      </c>
      <c r="F443" t="str">
        <f>CLEAN("$500,000 - $749,999      ")</f>
        <v xml:space="preserve">$500,000 - $749,999      </v>
      </c>
      <c r="G443" t="str">
        <f>CLEAN("LET")</f>
        <v>LET</v>
      </c>
      <c r="H443" t="str">
        <f>CLEAN("LET CONSTRUCTION         ")</f>
        <v xml:space="preserve">LET CONSTRUCTION         </v>
      </c>
      <c r="I443" t="str">
        <f>CLEAN("CONST OPS/BRIDGE REPLACEMENT       ")</f>
        <v xml:space="preserve">CONST OPS/BRIDGE REPLACEMENT       </v>
      </c>
      <c r="J443" t="str">
        <f>CLEAN("CTH MN ")</f>
        <v xml:space="preserve">CTH MN </v>
      </c>
      <c r="K443" t="str">
        <f>CLEAN("DANE                          ")</f>
        <v xml:space="preserve">DANE                          </v>
      </c>
      <c r="L443" t="str">
        <f>CLEAN("T DUNN - T PLEASANT SPRINGS(CTH MN)")</f>
        <v>T DUNN - T PLEASANT SPRINGS(CTH MN)</v>
      </c>
      <c r="M443" t="str">
        <f>CLEAN("DOOR CREEK BRIDGE B-13-00915       ")</f>
        <v xml:space="preserve">DOOR CREEK BRIDGE B-13-00915       </v>
      </c>
      <c r="N443">
        <v>0</v>
      </c>
      <c r="O443" t="str">
        <f t="shared" si="144"/>
        <v xml:space="preserve">          </v>
      </c>
      <c r="P44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44" spans="1:16" x14ac:dyDescent="0.25">
      <c r="A444" t="str">
        <f t="shared" si="145"/>
        <v>10</v>
      </c>
      <c r="B444" t="str">
        <f>CLEAN("22")</f>
        <v>22</v>
      </c>
      <c r="C444" s="1">
        <v>45407</v>
      </c>
      <c r="D444" t="str">
        <f>CLEAN("3700-00-71")</f>
        <v>3700-00-71</v>
      </c>
      <c r="E444" t="str">
        <f t="shared" ref="E444:E482" si="146">CLEAN("305  ")</f>
        <v xml:space="preserve">305  </v>
      </c>
      <c r="F444" t="str">
        <f>CLEAN("$250,000 - $499,999      ")</f>
        <v xml:space="preserve">$250,000 - $499,999      </v>
      </c>
      <c r="G444" t="str">
        <f>CLEAN("MIS")</f>
        <v>MIS</v>
      </c>
      <c r="H444" t="str">
        <f t="shared" ref="H444:H484" si="147">CLEAN("NONLET CONSTR/REAL ESTATE")</f>
        <v>NONLET CONSTR/REAL ESTATE</v>
      </c>
      <c r="I444" t="str">
        <f>CLEAN("CONST/STAND ALONE PROJ ID SE2302L  ")</f>
        <v xml:space="preserve">CONST/STAND ALONE PROJ ID SE2302L  </v>
      </c>
      <c r="J444" t="str">
        <f>CLEAN("STH 032")</f>
        <v>STH 032</v>
      </c>
      <c r="K444" t="str">
        <f>CLEAN("MILWAUKEE                     ")</f>
        <v xml:space="preserve">MILWAUKEE                     </v>
      </c>
      <c r="L444" t="str">
        <f>CLEAN("VILLAGE OF WHITEFISH BAY-LAKE DR   ")</f>
        <v xml:space="preserve">VILLAGE OF WHITEFISH BAY-LAKE DR   </v>
      </c>
      <c r="M444" t="str">
        <f>CLEAN("INTERSECT SILVERSPRING/MARLBOROUGH ")</f>
        <v xml:space="preserve">INTERSECT SILVERSPRING/MARLBOROUGH </v>
      </c>
      <c r="N444">
        <v>0.01</v>
      </c>
      <c r="O444" t="str">
        <f t="shared" si="144"/>
        <v xml:space="preserve">          </v>
      </c>
      <c r="P444" t="str">
        <f t="shared" ref="P444:P482" si="148">CLEAN("INTELLIGENT TRANSPORTATION SYSTEMS (ITS)                                                            ")</f>
        <v xml:space="preserve">INTELLIGENT TRANSPORTATION SYSTEMS (ITS)                                                            </v>
      </c>
    </row>
    <row r="445" spans="1:16" x14ac:dyDescent="0.25">
      <c r="A445" t="str">
        <f t="shared" si="145"/>
        <v>10</v>
      </c>
      <c r="B445" t="str">
        <f>CLEAN("22")</f>
        <v>22</v>
      </c>
      <c r="C445" s="1">
        <v>45285</v>
      </c>
      <c r="D445" t="str">
        <f>CLEAN("3700-06-71")</f>
        <v>3700-06-71</v>
      </c>
      <c r="E445" t="str">
        <f t="shared" si="146"/>
        <v xml:space="preserve">305  </v>
      </c>
      <c r="F445" t="str">
        <f>CLEAN("$100,000-$249,999        ")</f>
        <v xml:space="preserve">$100,000-$249,999        </v>
      </c>
      <c r="G445" t="str">
        <f>CLEAN("LFA")</f>
        <v>LFA</v>
      </c>
      <c r="H445" t="str">
        <f t="shared" si="147"/>
        <v>NONLET CONSTR/REAL ESTATE</v>
      </c>
      <c r="I445" t="str">
        <f>CLEAN("CONST/SIGNAL/SE2308L               ")</f>
        <v xml:space="preserve">CONST/SIGNAL/SE2308L               </v>
      </c>
      <c r="J445" t="str">
        <f>CLEAN("VAR HWY")</f>
        <v>VAR HWY</v>
      </c>
      <c r="K445" t="str">
        <f>CLEAN("MILWAUKEE                     ")</f>
        <v xml:space="preserve">MILWAUKEE                     </v>
      </c>
      <c r="L445" t="str">
        <f>CLEAN("INSTALL VIDEO DETECTION            ")</f>
        <v xml:space="preserve">INSTALL VIDEO DETECTION            </v>
      </c>
      <c r="M445" t="str">
        <f>CLEAN("7 CONNECTING HIGHWAY INTERSECTIONS ")</f>
        <v xml:space="preserve">7 CONNECTING HIGHWAY INTERSECTIONS </v>
      </c>
      <c r="N445">
        <v>3.3000000000000002E-2</v>
      </c>
      <c r="O445" t="str">
        <f t="shared" si="144"/>
        <v xml:space="preserve">          </v>
      </c>
      <c r="P445" t="str">
        <f t="shared" si="148"/>
        <v xml:space="preserve">INTELLIGENT TRANSPORTATION SYSTEMS (ITS)                                                            </v>
      </c>
    </row>
    <row r="446" spans="1:16" x14ac:dyDescent="0.25">
      <c r="A446" t="str">
        <f t="shared" si="145"/>
        <v>10</v>
      </c>
      <c r="B446" t="str">
        <f>CLEAN("22")</f>
        <v>22</v>
      </c>
      <c r="C446" s="1">
        <v>45285</v>
      </c>
      <c r="D446" t="str">
        <f>CLEAN("3700-06-72")</f>
        <v>3700-06-72</v>
      </c>
      <c r="E446" t="str">
        <f t="shared" si="146"/>
        <v xml:space="preserve">305  </v>
      </c>
      <c r="F446" t="str">
        <f>CLEAN("$100,000-$249,999        ")</f>
        <v xml:space="preserve">$100,000-$249,999        </v>
      </c>
      <c r="G446" t="str">
        <f>CLEAN("LFA")</f>
        <v>LFA</v>
      </c>
      <c r="H446" t="str">
        <f t="shared" si="147"/>
        <v>NONLET CONSTR/REAL ESTATE</v>
      </c>
      <c r="I446" t="str">
        <f>CLEAN("CONST/SIGNAL/SE2307L               ")</f>
        <v xml:space="preserve">CONST/SIGNAL/SE2307L               </v>
      </c>
      <c r="J446" t="str">
        <f>CLEAN("VAR HWY")</f>
        <v>VAR HWY</v>
      </c>
      <c r="K446" t="str">
        <f>CLEAN("MILWAUKEE                     ")</f>
        <v xml:space="preserve">MILWAUKEE                     </v>
      </c>
      <c r="L446" t="str">
        <f>CLEAN("INSTALL TRAFFIC SIGNAL FACE 12 INCH")</f>
        <v>INSTALL TRAFFIC SIGNAL FACE 12 INCH</v>
      </c>
      <c r="M446" t="str">
        <f>CLEAN("34 CONNECTING HIGHWAY INTERSECTIONS")</f>
        <v>34 CONNECTING HIGHWAY INTERSECTIONS</v>
      </c>
      <c r="N446">
        <v>0</v>
      </c>
      <c r="O446" t="str">
        <f t="shared" si="144"/>
        <v xml:space="preserve">          </v>
      </c>
      <c r="P446" t="str">
        <f t="shared" si="148"/>
        <v xml:space="preserve">INTELLIGENT TRANSPORTATION SYSTEMS (ITS)                                                            </v>
      </c>
    </row>
    <row r="447" spans="1:16" x14ac:dyDescent="0.25">
      <c r="A447" t="str">
        <f t="shared" si="145"/>
        <v>10</v>
      </c>
      <c r="B447" t="str">
        <f t="shared" ref="B447:B456" si="149">CLEAN("21")</f>
        <v>21</v>
      </c>
      <c r="C447" s="1">
        <v>45285</v>
      </c>
      <c r="D447" t="str">
        <f>CLEAN("3700-10-60")</f>
        <v>3700-10-60</v>
      </c>
      <c r="E447" t="str">
        <f t="shared" si="146"/>
        <v xml:space="preserve">305  </v>
      </c>
      <c r="F447" t="str">
        <f>CLEAN("$250,000 - $499,999      ")</f>
        <v xml:space="preserve">$250,000 - $499,999      </v>
      </c>
      <c r="G447" t="str">
        <f t="shared" ref="G447:G482" si="150">CLEAN("MIS")</f>
        <v>MIS</v>
      </c>
      <c r="H447" t="str">
        <f t="shared" si="147"/>
        <v>NONLET CONSTR/REAL ESTATE</v>
      </c>
      <c r="I447" t="str">
        <f>CLEAN("TRF/ SIGNAL REHAB FY24 /TOSIG      ")</f>
        <v xml:space="preserve">TRF/ SIGNAL REHAB FY24 /TOSIG      </v>
      </c>
      <c r="J447" t="str">
        <f>CLEAN("VAR HWY")</f>
        <v>VAR HWY</v>
      </c>
      <c r="K447" t="str">
        <f>CLEAN("LA CROSSE                     ")</f>
        <v xml:space="preserve">LA CROSSE                     </v>
      </c>
      <c r="L447" t="str">
        <f>CLEAN("CITY OF LA CROSSE                  ")</f>
        <v xml:space="preserve">CITY OF LA CROSSE                  </v>
      </c>
      <c r="M447" t="str">
        <f>CLEAN("VARIOUS HWYS                       ")</f>
        <v xml:space="preserve">VARIOUS HWYS                       </v>
      </c>
      <c r="N447">
        <v>6.6050000000000004</v>
      </c>
      <c r="O447" t="str">
        <f t="shared" si="144"/>
        <v xml:space="preserve">          </v>
      </c>
      <c r="P447" t="str">
        <f t="shared" si="148"/>
        <v xml:space="preserve">INTELLIGENT TRANSPORTATION SYSTEMS (ITS)                                                            </v>
      </c>
    </row>
    <row r="448" spans="1:16" x14ac:dyDescent="0.25">
      <c r="A448" t="str">
        <f t="shared" si="145"/>
        <v>10</v>
      </c>
      <c r="B448" t="str">
        <f t="shared" si="149"/>
        <v>21</v>
      </c>
      <c r="C448" s="1">
        <v>45285</v>
      </c>
      <c r="D448" t="str">
        <f>CLEAN("3700-10-61")</f>
        <v>3700-10-61</v>
      </c>
      <c r="E448" t="str">
        <f t="shared" si="146"/>
        <v xml:space="preserve">305  </v>
      </c>
      <c r="F448" t="str">
        <f>CLEAN("$0 - $99,999             ")</f>
        <v xml:space="preserve">$0 - $99,999             </v>
      </c>
      <c r="G448" t="str">
        <f t="shared" si="150"/>
        <v>MIS</v>
      </c>
      <c r="H448" t="str">
        <f t="shared" si="147"/>
        <v>NONLET CONSTR/REAL ESTATE</v>
      </c>
      <c r="I448" t="str">
        <f>CLEAN("TRF/SIGNAL REHAB CONTROLLERS/TOSIG ")</f>
        <v xml:space="preserve">TRF/SIGNAL REHAB CONTROLLERS/TOSIG </v>
      </c>
      <c r="J448" t="str">
        <f>CLEAN("VAR HWY")</f>
        <v>VAR HWY</v>
      </c>
      <c r="K448" t="str">
        <f>CLEAN("SOUTHWEST REGION WIDE         ")</f>
        <v xml:space="preserve">SOUTHWEST REGION WIDE         </v>
      </c>
      <c r="L448" t="str">
        <f>CLEAN("SW REGION TRAFFIC OPS              ")</f>
        <v xml:space="preserve">SW REGION TRAFFIC OPS              </v>
      </c>
      <c r="M448" t="str">
        <f>CLEAN("VARIOUS REGIONWIDE LOCATIONS       ")</f>
        <v xml:space="preserve">VARIOUS REGIONWIDE LOCATIONS       </v>
      </c>
      <c r="N448">
        <v>0</v>
      </c>
      <c r="O448" t="str">
        <f t="shared" si="144"/>
        <v xml:space="preserve">          </v>
      </c>
      <c r="P448" t="str">
        <f t="shared" si="148"/>
        <v xml:space="preserve">INTELLIGENT TRANSPORTATION SYSTEMS (ITS)                                                            </v>
      </c>
    </row>
    <row r="449" spans="1:16" x14ac:dyDescent="0.25">
      <c r="A449" t="str">
        <f t="shared" si="145"/>
        <v>10</v>
      </c>
      <c r="B449" t="str">
        <f t="shared" si="149"/>
        <v>21</v>
      </c>
      <c r="C449" s="1">
        <v>45498</v>
      </c>
      <c r="D449" t="str">
        <f>CLEAN("3700-10-61")</f>
        <v>3700-10-61</v>
      </c>
      <c r="E449" t="str">
        <f t="shared" si="146"/>
        <v xml:space="preserve">305  </v>
      </c>
      <c r="F449" t="str">
        <f>CLEAN("$0 - $99,999             ")</f>
        <v xml:space="preserve">$0 - $99,999             </v>
      </c>
      <c r="G449" t="str">
        <f t="shared" si="150"/>
        <v>MIS</v>
      </c>
      <c r="H449" t="str">
        <f t="shared" si="147"/>
        <v>NONLET CONSTR/REAL ESTATE</v>
      </c>
      <c r="I449" t="str">
        <f>CLEAN("TRF/SIGNAL REHAB CONTROLLERS/TOSIG ")</f>
        <v xml:space="preserve">TRF/SIGNAL REHAB CONTROLLERS/TOSIG </v>
      </c>
      <c r="J449" t="str">
        <f>CLEAN("VAR HWY")</f>
        <v>VAR HWY</v>
      </c>
      <c r="K449" t="str">
        <f>CLEAN("SOUTHWEST REGION WIDE         ")</f>
        <v xml:space="preserve">SOUTHWEST REGION WIDE         </v>
      </c>
      <c r="L449" t="str">
        <f>CLEAN("SW REGION TRAFFIC OPS              ")</f>
        <v xml:space="preserve">SW REGION TRAFFIC OPS              </v>
      </c>
      <c r="M449" t="str">
        <f>CLEAN("VARIOUS REGIONWIDE LOCATIONS       ")</f>
        <v xml:space="preserve">VARIOUS REGIONWIDE LOCATIONS       </v>
      </c>
      <c r="N449">
        <v>0</v>
      </c>
      <c r="O449" t="str">
        <f t="shared" si="144"/>
        <v xml:space="preserve">          </v>
      </c>
      <c r="P449" t="str">
        <f t="shared" si="148"/>
        <v xml:space="preserve">INTELLIGENT TRANSPORTATION SYSTEMS (ITS)                                                            </v>
      </c>
    </row>
    <row r="450" spans="1:16" x14ac:dyDescent="0.25">
      <c r="A450" t="str">
        <f t="shared" si="145"/>
        <v>10</v>
      </c>
      <c r="B450" t="str">
        <f t="shared" si="149"/>
        <v>21</v>
      </c>
      <c r="C450" s="1">
        <v>45285</v>
      </c>
      <c r="D450" t="str">
        <f>CLEAN("3700-10-62")</f>
        <v>3700-10-62</v>
      </c>
      <c r="E450" t="str">
        <f t="shared" si="146"/>
        <v xml:space="preserve">305  </v>
      </c>
      <c r="F450" t="str">
        <f>CLEAN("$0 - $99,999             ")</f>
        <v xml:space="preserve">$0 - $99,999             </v>
      </c>
      <c r="G450" t="str">
        <f t="shared" si="150"/>
        <v>MIS</v>
      </c>
      <c r="H450" t="str">
        <f t="shared" si="147"/>
        <v>NONLET CONSTR/REAL ESTATE</v>
      </c>
      <c r="I450" t="str">
        <f>CLEAN("TRF/ DES SIGNAL RETROFIT /TOSIG    ")</f>
        <v xml:space="preserve">TRF/ DES SIGNAL RETROFIT /TOSIG    </v>
      </c>
      <c r="J450" t="str">
        <f>CLEAN("USH 051")</f>
        <v>USH 051</v>
      </c>
      <c r="K450" t="str">
        <f>CLEAN("COLUMBIA                      ")</f>
        <v xml:space="preserve">COLUMBIA                      </v>
      </c>
      <c r="L450" t="str">
        <f>CLEAN("CITY OF PORTAGE                    ")</f>
        <v xml:space="preserve">CITY OF PORTAGE                    </v>
      </c>
      <c r="M450" t="str">
        <f>CLEAN("USH 51 &amp; COLLINS ST                ")</f>
        <v xml:space="preserve">USH 51 &amp; COLLINS ST                </v>
      </c>
      <c r="N450">
        <v>0.06</v>
      </c>
      <c r="O450" t="str">
        <f t="shared" si="144"/>
        <v xml:space="preserve">          </v>
      </c>
      <c r="P450" t="str">
        <f t="shared" si="148"/>
        <v xml:space="preserve">INTELLIGENT TRANSPORTATION SYSTEMS (ITS)                                                            </v>
      </c>
    </row>
    <row r="451" spans="1:16" x14ac:dyDescent="0.25">
      <c r="A451" t="str">
        <f t="shared" si="145"/>
        <v>10</v>
      </c>
      <c r="B451" t="str">
        <f t="shared" si="149"/>
        <v>21</v>
      </c>
      <c r="C451" s="1">
        <v>45498</v>
      </c>
      <c r="D451" t="str">
        <f>CLEAN("3700-10-63")</f>
        <v>3700-10-63</v>
      </c>
      <c r="E451" t="str">
        <f t="shared" si="146"/>
        <v xml:space="preserve">305  </v>
      </c>
      <c r="F451" t="str">
        <f>CLEAN("$250,000 - $499,999      ")</f>
        <v xml:space="preserve">$250,000 - $499,999      </v>
      </c>
      <c r="G451" t="str">
        <f t="shared" si="150"/>
        <v>MIS</v>
      </c>
      <c r="H451" t="str">
        <f t="shared" si="147"/>
        <v>NONLET CONSTR/REAL ESTATE</v>
      </c>
      <c r="I451" t="str">
        <f>CLEAN("TRF/CONST SIGNAL RETROFIT/TOSIG    ")</f>
        <v xml:space="preserve">TRF/CONST SIGNAL RETROFIT/TOSIG    </v>
      </c>
      <c r="J451" t="str">
        <f>CLEAN("USH 051")</f>
        <v>USH 051</v>
      </c>
      <c r="K451" t="str">
        <f>CLEAN("COLUMBIA                      ")</f>
        <v xml:space="preserve">COLUMBIA                      </v>
      </c>
      <c r="L451" t="str">
        <f>CLEAN("CITY OF PORTAGE                    ")</f>
        <v xml:space="preserve">CITY OF PORTAGE                    </v>
      </c>
      <c r="M451" t="str">
        <f>CLEAN("USH 51 &amp; COLLINS ST                ")</f>
        <v xml:space="preserve">USH 51 &amp; COLLINS ST                </v>
      </c>
      <c r="N451">
        <v>0.06</v>
      </c>
      <c r="O451" t="str">
        <f t="shared" si="144"/>
        <v xml:space="preserve">          </v>
      </c>
      <c r="P451" t="str">
        <f t="shared" si="148"/>
        <v xml:space="preserve">INTELLIGENT TRANSPORTATION SYSTEMS (ITS)                                                            </v>
      </c>
    </row>
    <row r="452" spans="1:16" x14ac:dyDescent="0.25">
      <c r="A452" t="str">
        <f t="shared" si="145"/>
        <v>10</v>
      </c>
      <c r="B452" t="str">
        <f t="shared" si="149"/>
        <v>21</v>
      </c>
      <c r="C452" s="1">
        <v>45285</v>
      </c>
      <c r="D452" t="str">
        <f>CLEAN("3700-10-67")</f>
        <v>3700-10-67</v>
      </c>
      <c r="E452" t="str">
        <f t="shared" si="146"/>
        <v xml:space="preserve">305  </v>
      </c>
      <c r="F452" t="str">
        <f>CLEAN("$250,000 - $499,999      ")</f>
        <v xml:space="preserve">$250,000 - $499,999      </v>
      </c>
      <c r="G452" t="str">
        <f t="shared" si="150"/>
        <v>MIS</v>
      </c>
      <c r="H452" t="str">
        <f t="shared" si="147"/>
        <v>NONLET CONSTR/REAL ESTATE</v>
      </c>
      <c r="I452" t="str">
        <f>CLEAN("TRF/ CONST SIGNAL REHAB FY24/ TOSIG")</f>
        <v>TRF/ CONST SIGNAL REHAB FY24/ TOSIG</v>
      </c>
      <c r="J452" t="str">
        <f>CLEAN("STH 019")</f>
        <v>STH 019</v>
      </c>
      <c r="K452" t="str">
        <f>CLEAN("DANE                          ")</f>
        <v xml:space="preserve">DANE                          </v>
      </c>
      <c r="L452" t="str">
        <f>CLEAN("CITY OF SUN PRAIRIE                ")</f>
        <v xml:space="preserve">CITY OF SUN PRAIRIE                </v>
      </c>
      <c r="M452" t="str">
        <f>CLEAN("MAIN ST - CHURCH ST INTERSECTION   ")</f>
        <v xml:space="preserve">MAIN ST - CHURCH ST INTERSECTION   </v>
      </c>
      <c r="N452">
        <v>0</v>
      </c>
      <c r="O452" t="str">
        <f t="shared" si="144"/>
        <v xml:space="preserve">          </v>
      </c>
      <c r="P452" t="str">
        <f t="shared" si="148"/>
        <v xml:space="preserve">INTELLIGENT TRANSPORTATION SYSTEMS (ITS)                                                            </v>
      </c>
    </row>
    <row r="453" spans="1:16" x14ac:dyDescent="0.25">
      <c r="A453" t="str">
        <f t="shared" si="145"/>
        <v>10</v>
      </c>
      <c r="B453" t="str">
        <f t="shared" si="149"/>
        <v>21</v>
      </c>
      <c r="C453" s="1">
        <v>45285</v>
      </c>
      <c r="D453" t="str">
        <f>CLEAN("3700-10-68")</f>
        <v>3700-10-68</v>
      </c>
      <c r="E453" t="str">
        <f t="shared" si="146"/>
        <v xml:space="preserve">305  </v>
      </c>
      <c r="F453" t="str">
        <f>CLEAN("$250,000 - $499,999      ")</f>
        <v xml:space="preserve">$250,000 - $499,999      </v>
      </c>
      <c r="G453" t="str">
        <f t="shared" si="150"/>
        <v>MIS</v>
      </c>
      <c r="H453" t="str">
        <f t="shared" si="147"/>
        <v>NONLET CONSTR/REAL ESTATE</v>
      </c>
      <c r="I453" t="str">
        <f>CLEAN("TRF/ CONST SIGNAL REHAB FY24/ TOSIG")</f>
        <v>TRF/ CONST SIGNAL REHAB FY24/ TOSIG</v>
      </c>
      <c r="J453" t="str">
        <f>CLEAN("STH 019")</f>
        <v>STH 019</v>
      </c>
      <c r="K453" t="str">
        <f>CLEAN("DANE                          ")</f>
        <v xml:space="preserve">DANE                          </v>
      </c>
      <c r="L453" t="str">
        <f>CLEAN("CITY OF SUN PRAIRIE                ")</f>
        <v xml:space="preserve">CITY OF SUN PRAIRIE                </v>
      </c>
      <c r="M453" t="str">
        <f>CLEAN("WINDSOR ST - BIRD ST INTERSECTION  ")</f>
        <v xml:space="preserve">WINDSOR ST - BIRD ST INTERSECTION  </v>
      </c>
      <c r="N453">
        <v>0.04</v>
      </c>
      <c r="O453" t="str">
        <f t="shared" si="144"/>
        <v xml:space="preserve">          </v>
      </c>
      <c r="P453" t="str">
        <f t="shared" si="148"/>
        <v xml:space="preserve">INTELLIGENT TRANSPORTATION SYSTEMS (ITS)                                                            </v>
      </c>
    </row>
    <row r="454" spans="1:16" x14ac:dyDescent="0.25">
      <c r="A454" t="str">
        <f t="shared" si="145"/>
        <v>10</v>
      </c>
      <c r="B454" t="str">
        <f t="shared" si="149"/>
        <v>21</v>
      </c>
      <c r="C454" s="1">
        <v>45285</v>
      </c>
      <c r="D454" t="str">
        <f>CLEAN("3700-10-86")</f>
        <v>3700-10-86</v>
      </c>
      <c r="E454" t="str">
        <f t="shared" si="146"/>
        <v xml:space="preserve">305  </v>
      </c>
      <c r="F454" t="str">
        <f>CLEAN("$0 - $99,999             ")</f>
        <v xml:space="preserve">$0 - $99,999             </v>
      </c>
      <c r="G454" t="str">
        <f t="shared" si="150"/>
        <v>MIS</v>
      </c>
      <c r="H454" t="str">
        <f t="shared" si="147"/>
        <v>NONLET CONSTR/REAL ESTATE</v>
      </c>
      <c r="I454" t="str">
        <f>CLEAN("TRF OPS/SIGNAL CABINET REPLACEMENTS")</f>
        <v>TRF OPS/SIGNAL CABINET REPLACEMENTS</v>
      </c>
      <c r="J454" t="str">
        <f>CLEAN("VAR HWY")</f>
        <v>VAR HWY</v>
      </c>
      <c r="K454" t="str">
        <f>CLEAN("DANE                          ")</f>
        <v xml:space="preserve">DANE                          </v>
      </c>
      <c r="L454" t="str">
        <f>CLEAN("SW REGION TRAFFIC OPS              ")</f>
        <v xml:space="preserve">SW REGION TRAFFIC OPS              </v>
      </c>
      <c r="M454" t="str">
        <f>CLEAN("VARIOUS REGIONWIDE LOCATIONS       ")</f>
        <v xml:space="preserve">VARIOUS REGIONWIDE LOCATIONS       </v>
      </c>
      <c r="N454">
        <v>9.9000000000000005E-2</v>
      </c>
      <c r="O454" t="str">
        <f t="shared" si="144"/>
        <v xml:space="preserve">          </v>
      </c>
      <c r="P454" t="str">
        <f t="shared" si="148"/>
        <v xml:space="preserve">INTELLIGENT TRANSPORTATION SYSTEMS (ITS)                                                            </v>
      </c>
    </row>
    <row r="455" spans="1:16" x14ac:dyDescent="0.25">
      <c r="A455" t="str">
        <f t="shared" si="145"/>
        <v>10</v>
      </c>
      <c r="B455" t="str">
        <f t="shared" si="149"/>
        <v>21</v>
      </c>
      <c r="C455" s="1">
        <v>45285</v>
      </c>
      <c r="D455" t="str">
        <f>CLEAN("3700-11-71")</f>
        <v>3700-11-71</v>
      </c>
      <c r="E455" t="str">
        <f t="shared" si="146"/>
        <v xml:space="preserve">305  </v>
      </c>
      <c r="F455" t="str">
        <f>CLEAN("$0 - $99,999             ")</f>
        <v xml:space="preserve">$0 - $99,999             </v>
      </c>
      <c r="G455" t="str">
        <f t="shared" si="150"/>
        <v>MIS</v>
      </c>
      <c r="H455" t="str">
        <f t="shared" si="147"/>
        <v>NONLET CONSTR/REAL ESTATE</v>
      </c>
      <c r="I455" t="str">
        <f>CLEAN("TRF/ DES SIGNAL RETROFIT /TOSIG    ")</f>
        <v xml:space="preserve">TRF/ DES SIGNAL RETROFIT /TOSIG    </v>
      </c>
      <c r="J455" t="str">
        <f>CLEAN("USH 051")</f>
        <v>USH 051</v>
      </c>
      <c r="K455" t="str">
        <f>CLEAN("COLUMBIA                      ")</f>
        <v xml:space="preserve">COLUMBIA                      </v>
      </c>
      <c r="L455" t="str">
        <f>CLEAN("CITY OF PORTAGE                    ")</f>
        <v xml:space="preserve">CITY OF PORTAGE                    </v>
      </c>
      <c r="M455" t="str">
        <f>CLEAN("USH 51 &amp; SLIFER ST                 ")</f>
        <v xml:space="preserve">USH 51 &amp; SLIFER ST                 </v>
      </c>
      <c r="N455">
        <v>3.2000000000000001E-2</v>
      </c>
      <c r="O455" t="str">
        <f t="shared" si="144"/>
        <v xml:space="preserve">          </v>
      </c>
      <c r="P455" t="str">
        <f t="shared" si="148"/>
        <v xml:space="preserve">INTELLIGENT TRANSPORTATION SYSTEMS (ITS)                                                            </v>
      </c>
    </row>
    <row r="456" spans="1:16" x14ac:dyDescent="0.25">
      <c r="A456" t="str">
        <f t="shared" si="145"/>
        <v>10</v>
      </c>
      <c r="B456" t="str">
        <f t="shared" si="149"/>
        <v>21</v>
      </c>
      <c r="C456" s="1">
        <v>45498</v>
      </c>
      <c r="D456" t="str">
        <f>CLEAN("3700-11-72")</f>
        <v>3700-11-72</v>
      </c>
      <c r="E456" t="str">
        <f t="shared" si="146"/>
        <v xml:space="preserve">305  </v>
      </c>
      <c r="F456" t="str">
        <f>CLEAN("$250,000 - $499,999      ")</f>
        <v xml:space="preserve">$250,000 - $499,999      </v>
      </c>
      <c r="G456" t="str">
        <f t="shared" si="150"/>
        <v>MIS</v>
      </c>
      <c r="H456" t="str">
        <f t="shared" si="147"/>
        <v>NONLET CONSTR/REAL ESTATE</v>
      </c>
      <c r="I456" t="str">
        <f>CLEAN("TRF/ CONST SIGNAL RETROFIT /TOSIG  ")</f>
        <v xml:space="preserve">TRF/ CONST SIGNAL RETROFIT /TOSIG  </v>
      </c>
      <c r="J456" t="str">
        <f>CLEAN("USH 051")</f>
        <v>USH 051</v>
      </c>
      <c r="K456" t="str">
        <f>CLEAN("COLUMBIA                      ")</f>
        <v xml:space="preserve">COLUMBIA                      </v>
      </c>
      <c r="L456" t="str">
        <f>CLEAN("CITY OF PORTAGE                    ")</f>
        <v xml:space="preserve">CITY OF PORTAGE                    </v>
      </c>
      <c r="M456" t="str">
        <f>CLEAN("USH 51 &amp; SLIFER ST                 ")</f>
        <v xml:space="preserve">USH 51 &amp; SLIFER ST                 </v>
      </c>
      <c r="N456">
        <v>3.2000000000000001E-2</v>
      </c>
      <c r="O456" t="str">
        <f t="shared" si="144"/>
        <v xml:space="preserve">          </v>
      </c>
      <c r="P456" t="str">
        <f t="shared" si="148"/>
        <v xml:space="preserve">INTELLIGENT TRANSPORTATION SYSTEMS (ITS)                                                            </v>
      </c>
    </row>
    <row r="457" spans="1:16" x14ac:dyDescent="0.25">
      <c r="A457" t="str">
        <f t="shared" si="145"/>
        <v>10</v>
      </c>
      <c r="B457" t="str">
        <f>CLEAN("22")</f>
        <v>22</v>
      </c>
      <c r="C457" s="1">
        <v>45498</v>
      </c>
      <c r="D457" t="str">
        <f>CLEAN("3700-20-77")</f>
        <v>3700-20-77</v>
      </c>
      <c r="E457" t="str">
        <f t="shared" si="146"/>
        <v xml:space="preserve">305  </v>
      </c>
      <c r="F457" t="str">
        <f>CLEAN("$1,000,000 - $1,999,999  ")</f>
        <v xml:space="preserve">$1,000,000 - $1,999,999  </v>
      </c>
      <c r="G457" t="str">
        <f t="shared" si="150"/>
        <v>MIS</v>
      </c>
      <c r="H457" t="str">
        <f t="shared" si="147"/>
        <v>NONLET CONSTR/REAL ESTATE</v>
      </c>
      <c r="I457" t="str">
        <f>CLEAN("MIS/SIGNAL TIMING OPTIMIZATION     ")</f>
        <v xml:space="preserve">MIS/SIGNAL TIMING OPTIMIZATION     </v>
      </c>
      <c r="J457" t="str">
        <f>CLEAN("VAR HWY")</f>
        <v>VAR HWY</v>
      </c>
      <c r="K457" t="str">
        <f>CLEAN("SOUTHEAST REGION WIDE         ")</f>
        <v xml:space="preserve">SOUTHEAST REGION WIDE         </v>
      </c>
      <c r="L457" t="str">
        <f>CLEAN("SIGNAL TIMING OPTIMIZATION FY 25   ")</f>
        <v xml:space="preserve">SIGNAL TIMING OPTIMIZATION FY 25   </v>
      </c>
      <c r="M457" t="str">
        <f>CLEAN("VARIOUS STATE HIGHWAYS PER PLAN    ")</f>
        <v xml:space="preserve">VARIOUS STATE HIGHWAYS PER PLAN    </v>
      </c>
      <c r="N457">
        <v>0</v>
      </c>
      <c r="O457" t="str">
        <f t="shared" si="144"/>
        <v xml:space="preserve">          </v>
      </c>
      <c r="P457" t="str">
        <f t="shared" si="148"/>
        <v xml:space="preserve">INTELLIGENT TRANSPORTATION SYSTEMS (ITS)                                                            </v>
      </c>
    </row>
    <row r="458" spans="1:16" x14ac:dyDescent="0.25">
      <c r="A458" t="str">
        <f t="shared" si="145"/>
        <v>10</v>
      </c>
      <c r="B458" t="str">
        <f>CLEAN("22")</f>
        <v>22</v>
      </c>
      <c r="C458" s="1">
        <v>45316</v>
      </c>
      <c r="D458" t="str">
        <f>CLEAN("3700-20-86")</f>
        <v>3700-20-86</v>
      </c>
      <c r="E458" t="str">
        <f t="shared" si="146"/>
        <v xml:space="preserve">305  </v>
      </c>
      <c r="F458" t="str">
        <f>CLEAN("$500,000 - $749,999      ")</f>
        <v xml:space="preserve">$500,000 - $749,999      </v>
      </c>
      <c r="G458" t="str">
        <f t="shared" si="150"/>
        <v>MIS</v>
      </c>
      <c r="H458" t="str">
        <f t="shared" si="147"/>
        <v>NONLET CONSTR/REAL ESTATE</v>
      </c>
      <c r="I458" t="str">
        <f>CLEAN("MIS/SIGNAL TIMING OPTIMIZATION     ")</f>
        <v xml:space="preserve">MIS/SIGNAL TIMING OPTIMIZATION     </v>
      </c>
      <c r="J458" t="str">
        <f>CLEAN("VAR HWY")</f>
        <v>VAR HWY</v>
      </c>
      <c r="K458" t="str">
        <f>CLEAN("SOUTHEAST REGION WIDE         ")</f>
        <v xml:space="preserve">SOUTHEAST REGION WIDE         </v>
      </c>
      <c r="L458" t="str">
        <f>CLEAN("SIGNAL TIMING OPTIMIZATION FY 24   ")</f>
        <v xml:space="preserve">SIGNAL TIMING OPTIMIZATION FY 24   </v>
      </c>
      <c r="M458" t="str">
        <f>CLEAN("VARIOUS STATE HIGHWAYS PER PLAN    ")</f>
        <v xml:space="preserve">VARIOUS STATE HIGHWAYS PER PLAN    </v>
      </c>
      <c r="N458">
        <v>0</v>
      </c>
      <c r="O458" t="str">
        <f t="shared" si="144"/>
        <v xml:space="preserve">          </v>
      </c>
      <c r="P458" t="str">
        <f t="shared" si="148"/>
        <v xml:space="preserve">INTELLIGENT TRANSPORTATION SYSTEMS (ITS)                                                            </v>
      </c>
    </row>
    <row r="459" spans="1:16" x14ac:dyDescent="0.25">
      <c r="A459" t="str">
        <f t="shared" si="145"/>
        <v>10</v>
      </c>
      <c r="B459" t="str">
        <f>CLEAN("22")</f>
        <v>22</v>
      </c>
      <c r="C459" s="1">
        <v>45285</v>
      </c>
      <c r="D459" t="str">
        <f>CLEAN("3700-22-70")</f>
        <v>3700-22-70</v>
      </c>
      <c r="E459" t="str">
        <f t="shared" si="146"/>
        <v xml:space="preserve">305  </v>
      </c>
      <c r="F459" t="str">
        <f>CLEAN("$250,000 - $499,999      ")</f>
        <v xml:space="preserve">$250,000 - $499,999      </v>
      </c>
      <c r="G459" t="str">
        <f t="shared" si="150"/>
        <v>MIS</v>
      </c>
      <c r="H459" t="str">
        <f t="shared" si="147"/>
        <v>NONLET CONSTR/REAL ESTATE</v>
      </c>
      <c r="I459" t="str">
        <f>CLEAN("STAND ALONE PROJECT ID SER2201L    ")</f>
        <v xml:space="preserve">STAND ALONE PROJECT ID SER2201L    </v>
      </c>
      <c r="J459" t="str">
        <f>CLEAN("STH 158")</f>
        <v>STH 158</v>
      </c>
      <c r="K459" t="str">
        <f>CLEAN("KENOSHA                       ")</f>
        <v xml:space="preserve">KENOSHA                       </v>
      </c>
      <c r="L459" t="str">
        <f>CLEAN("STH 158 &amp; 39TH AVE SIGNAL RETROFIT ")</f>
        <v xml:space="preserve">STH 158 &amp; 39TH AVE SIGNAL RETROFIT </v>
      </c>
      <c r="M459" t="str">
        <f>CLEAN("STH 158 AND 39TH AVE INTERSECTION  ")</f>
        <v xml:space="preserve">STH 158 AND 39TH AVE INTERSECTION  </v>
      </c>
      <c r="N459">
        <v>4.0000000000000001E-3</v>
      </c>
      <c r="O459" t="str">
        <f t="shared" si="144"/>
        <v xml:space="preserve">          </v>
      </c>
      <c r="P459" t="str">
        <f t="shared" si="148"/>
        <v xml:space="preserve">INTELLIGENT TRANSPORTATION SYSTEMS (ITS)                                                            </v>
      </c>
    </row>
    <row r="460" spans="1:16" x14ac:dyDescent="0.25">
      <c r="A460" t="str">
        <f t="shared" si="145"/>
        <v>10</v>
      </c>
      <c r="B460" t="str">
        <f>CLEAN("22")</f>
        <v>22</v>
      </c>
      <c r="C460" s="1">
        <v>45285</v>
      </c>
      <c r="D460" t="str">
        <f>CLEAN("3700-22-92")</f>
        <v>3700-22-92</v>
      </c>
      <c r="E460" t="str">
        <f t="shared" si="146"/>
        <v xml:space="preserve">305  </v>
      </c>
      <c r="F460" t="str">
        <f>CLEAN("$0 - $99,999             ")</f>
        <v xml:space="preserve">$0 - $99,999             </v>
      </c>
      <c r="G460" t="str">
        <f t="shared" si="150"/>
        <v>MIS</v>
      </c>
      <c r="H460" t="str">
        <f t="shared" si="147"/>
        <v>NONLET CONSTR/REAL ESTATE</v>
      </c>
      <c r="I460" t="str">
        <f>CLEAN("STANDALONE PROJECT ID SE2304       ")</f>
        <v xml:space="preserve">STANDALONE PROJECT ID SE2304       </v>
      </c>
      <c r="J460" t="str">
        <f>CLEAN("VAR HWY")</f>
        <v>VAR HWY</v>
      </c>
      <c r="K460" t="str">
        <f>CLEAN("SOUTHEAST REGION WIDE         ")</f>
        <v xml:space="preserve">SOUTHEAST REGION WIDE         </v>
      </c>
      <c r="L460" t="str">
        <f>CLEAN("SIGNAL CONTROLLER UPGRADES/COMM    ")</f>
        <v xml:space="preserve">SIGNAL CONTROLLER UPGRADES/COMM    </v>
      </c>
      <c r="M460" t="str">
        <f>CLEAN("VARIOUS SIGNALIZED INTERSECTIONS   ")</f>
        <v xml:space="preserve">VARIOUS SIGNALIZED INTERSECTIONS   </v>
      </c>
      <c r="N460">
        <v>0</v>
      </c>
      <c r="O460" t="str">
        <f t="shared" si="144"/>
        <v xml:space="preserve">          </v>
      </c>
      <c r="P460" t="str">
        <f t="shared" si="148"/>
        <v xml:space="preserve">INTELLIGENT TRANSPORTATION SYSTEMS (ITS)                                                            </v>
      </c>
    </row>
    <row r="461" spans="1:16" x14ac:dyDescent="0.25">
      <c r="A461" t="str">
        <f t="shared" si="145"/>
        <v>10</v>
      </c>
      <c r="B461" t="str">
        <f t="shared" ref="B461:B471" si="151">CLEAN("23")</f>
        <v>23</v>
      </c>
      <c r="C461" s="1">
        <v>45285</v>
      </c>
      <c r="D461" t="str">
        <f>CLEAN("3700-30-45")</f>
        <v>3700-30-45</v>
      </c>
      <c r="E461" t="str">
        <f t="shared" si="146"/>
        <v xml:space="preserve">305  </v>
      </c>
      <c r="F461" t="str">
        <f>CLEAN("$250,000 - $499,999      ")</f>
        <v xml:space="preserve">$250,000 - $499,999      </v>
      </c>
      <c r="G461" t="str">
        <f t="shared" si="150"/>
        <v>MIS</v>
      </c>
      <c r="H461" t="str">
        <f t="shared" si="147"/>
        <v>NONLET CONSTR/REAL ESTATE</v>
      </c>
      <c r="I461" t="str">
        <f>CLEAN("TRF OPS/TOSIG NE2302L              ")</f>
        <v xml:space="preserve">TRF OPS/TOSIG NE2302L              </v>
      </c>
      <c r="J461" t="str">
        <f>CLEAN("USH 151")</f>
        <v>USH 151</v>
      </c>
      <c r="K461" t="str">
        <f>CLEAN("MANITOWOC                     ")</f>
        <v xml:space="preserve">MANITOWOC                     </v>
      </c>
      <c r="L461" t="str">
        <f>CLEAN("C MANITOWOC, WASHINGTON ST         ")</f>
        <v xml:space="preserve">C MANITOWOC, WASHINGTON ST         </v>
      </c>
      <c r="M461" t="str">
        <f>CLEAN("21ST ST INTERSECTION SIGNAL REHAB  ")</f>
        <v xml:space="preserve">21ST ST INTERSECTION SIGNAL REHAB  </v>
      </c>
      <c r="N461">
        <v>2.5999999999999999E-2</v>
      </c>
      <c r="O461" t="str">
        <f t="shared" si="144"/>
        <v xml:space="preserve">          </v>
      </c>
      <c r="P461" t="str">
        <f t="shared" si="148"/>
        <v xml:space="preserve">INTELLIGENT TRANSPORTATION SYSTEMS (ITS)                                                            </v>
      </c>
    </row>
    <row r="462" spans="1:16" x14ac:dyDescent="0.25">
      <c r="A462" t="str">
        <f t="shared" si="145"/>
        <v>10</v>
      </c>
      <c r="B462" t="str">
        <f t="shared" si="151"/>
        <v>23</v>
      </c>
      <c r="C462" s="1">
        <v>45285</v>
      </c>
      <c r="D462" t="str">
        <f>CLEAN("3700-30-46")</f>
        <v>3700-30-46</v>
      </c>
      <c r="E462" t="str">
        <f t="shared" si="146"/>
        <v xml:space="preserve">305  </v>
      </c>
      <c r="F462" t="str">
        <f>CLEAN("$250,000 - $499,999      ")</f>
        <v xml:space="preserve">$250,000 - $499,999      </v>
      </c>
      <c r="G462" t="str">
        <f t="shared" si="150"/>
        <v>MIS</v>
      </c>
      <c r="H462" t="str">
        <f t="shared" si="147"/>
        <v>NONLET CONSTR/REAL ESTATE</v>
      </c>
      <c r="I462" t="str">
        <f>CLEAN("TRF OPS/TOSIG SIGNAL REHAB NE2303L ")</f>
        <v xml:space="preserve">TRF OPS/TOSIG SIGNAL REHAB NE2303L </v>
      </c>
      <c r="J462" t="str">
        <f>CLEAN("STH 023")</f>
        <v>STH 023</v>
      </c>
      <c r="K462" t="str">
        <f>CLEAN("SHEBOYGAN                     ")</f>
        <v xml:space="preserve">SHEBOYGAN                     </v>
      </c>
      <c r="L462" t="str">
        <f>CLEAN("C SHEBOYGAN, KOHLER MEMORIAL DR    ")</f>
        <v xml:space="preserve">C SHEBOYGAN, KOHLER MEMORIAL DR    </v>
      </c>
      <c r="M462" t="str">
        <f>CLEAN("TAYLOR DR INTERSECTION SIGNAL REHAB")</f>
        <v>TAYLOR DR INTERSECTION SIGNAL REHAB</v>
      </c>
      <c r="N462">
        <v>0.39200000000000002</v>
      </c>
      <c r="O462" t="str">
        <f t="shared" ref="O462:O487" si="152">CLEAN("          ")</f>
        <v xml:space="preserve">          </v>
      </c>
      <c r="P462" t="str">
        <f t="shared" si="148"/>
        <v xml:space="preserve">INTELLIGENT TRANSPORTATION SYSTEMS (ITS)                                                            </v>
      </c>
    </row>
    <row r="463" spans="1:16" x14ac:dyDescent="0.25">
      <c r="A463" t="str">
        <f t="shared" si="145"/>
        <v>10</v>
      </c>
      <c r="B463" t="str">
        <f t="shared" si="151"/>
        <v>23</v>
      </c>
      <c r="C463" s="1">
        <v>45285</v>
      </c>
      <c r="D463" t="str">
        <f>CLEAN("3700-30-47")</f>
        <v>3700-30-47</v>
      </c>
      <c r="E463" t="str">
        <f t="shared" si="146"/>
        <v xml:space="preserve">305  </v>
      </c>
      <c r="F463" t="str">
        <f>CLEAN("$0 - $99,999             ")</f>
        <v xml:space="preserve">$0 - $99,999             </v>
      </c>
      <c r="G463" t="str">
        <f t="shared" si="150"/>
        <v>MIS</v>
      </c>
      <c r="H463" t="str">
        <f t="shared" si="147"/>
        <v>NONLET CONSTR/REAL ESTATE</v>
      </c>
      <c r="I463" t="str">
        <f>CLEAN("TRF DSN/TOSIG NE2401L              ")</f>
        <v xml:space="preserve">TRF DSN/TOSIG NE2401L              </v>
      </c>
      <c r="J463" t="str">
        <f>CLEAN("STH 028")</f>
        <v>STH 028</v>
      </c>
      <c r="K463" t="str">
        <f>CLEAN("SHEBOYGAN                     ")</f>
        <v xml:space="preserve">SHEBOYGAN                     </v>
      </c>
      <c r="L463" t="str">
        <f>CLEAN("C SHEBOYGAN, BUSINESS DRIVE        ")</f>
        <v xml:space="preserve">C SHEBOYGAN, BUSINESS DRIVE        </v>
      </c>
      <c r="M463" t="str">
        <f>CLEAN("WASHINGTON AVE SIGNAL REHAB        ")</f>
        <v xml:space="preserve">WASHINGTON AVE SIGNAL REHAB        </v>
      </c>
      <c r="N463">
        <v>6.0999999999999999E-2</v>
      </c>
      <c r="O463" t="str">
        <f t="shared" si="152"/>
        <v xml:space="preserve">          </v>
      </c>
      <c r="P463" t="str">
        <f t="shared" si="148"/>
        <v xml:space="preserve">INTELLIGENT TRANSPORTATION SYSTEMS (ITS)                                                            </v>
      </c>
    </row>
    <row r="464" spans="1:16" x14ac:dyDescent="0.25">
      <c r="A464" t="str">
        <f t="shared" si="145"/>
        <v>10</v>
      </c>
      <c r="B464" t="str">
        <f t="shared" si="151"/>
        <v>23</v>
      </c>
      <c r="C464" s="1">
        <v>45376</v>
      </c>
      <c r="D464" t="str">
        <f>CLEAN("3700-30-48")</f>
        <v>3700-30-48</v>
      </c>
      <c r="E464" t="str">
        <f t="shared" si="146"/>
        <v xml:space="preserve">305  </v>
      </c>
      <c r="F464" t="str">
        <f>CLEAN("$0 - $99,999             ")</f>
        <v xml:space="preserve">$0 - $99,999             </v>
      </c>
      <c r="G464" t="str">
        <f t="shared" si="150"/>
        <v>MIS</v>
      </c>
      <c r="H464" t="str">
        <f t="shared" si="147"/>
        <v>NONLET CONSTR/REAL ESTATE</v>
      </c>
      <c r="I464" t="str">
        <f>CLEAN("TRF OPS/TOSIG NE2306L              ")</f>
        <v xml:space="preserve">TRF OPS/TOSIG NE2306L              </v>
      </c>
      <c r="J464" t="str">
        <f>CLEAN("STH 042")</f>
        <v>STH 042</v>
      </c>
      <c r="K464" t="str">
        <f>CLEAN("MANITOWOC                     ")</f>
        <v xml:space="preserve">MANITOWOC                     </v>
      </c>
      <c r="L464" t="str">
        <f>CLEAN("C TWO RIVERS, WASHINGTON ST        ")</f>
        <v xml:space="preserve">C TWO RIVERS, WASHINGTON ST        </v>
      </c>
      <c r="M464" t="str">
        <f>CLEAN("STH 147 INTERSECTION SIGNAL REHAB  ")</f>
        <v xml:space="preserve">STH 147 INTERSECTION SIGNAL REHAB  </v>
      </c>
      <c r="N464">
        <v>1.4999999999999999E-2</v>
      </c>
      <c r="O464" t="str">
        <f t="shared" si="152"/>
        <v xml:space="preserve">          </v>
      </c>
      <c r="P464" t="str">
        <f t="shared" si="148"/>
        <v xml:space="preserve">INTELLIGENT TRANSPORTATION SYSTEMS (ITS)                                                            </v>
      </c>
    </row>
    <row r="465" spans="1:16" x14ac:dyDescent="0.25">
      <c r="A465" t="str">
        <f t="shared" si="145"/>
        <v>10</v>
      </c>
      <c r="B465" t="str">
        <f t="shared" si="151"/>
        <v>23</v>
      </c>
      <c r="C465" s="1">
        <v>45285</v>
      </c>
      <c r="D465" t="str">
        <f>CLEAN("3700-30-49")</f>
        <v>3700-30-49</v>
      </c>
      <c r="E465" t="str">
        <f t="shared" si="146"/>
        <v xml:space="preserve">305  </v>
      </c>
      <c r="F465" t="str">
        <f>CLEAN("$0 - $99,999             ")</f>
        <v xml:space="preserve">$0 - $99,999             </v>
      </c>
      <c r="G465" t="str">
        <f t="shared" si="150"/>
        <v>MIS</v>
      </c>
      <c r="H465" t="str">
        <f t="shared" si="147"/>
        <v>NONLET CONSTR/REAL ESTATE</v>
      </c>
      <c r="I465" t="str">
        <f>CLEAN("TRF DSN/TOSIG NE2402L              ")</f>
        <v xml:space="preserve">TRF DSN/TOSIG NE2402L              </v>
      </c>
      <c r="J465" t="str">
        <f>CLEAN("STH 042")</f>
        <v>STH 042</v>
      </c>
      <c r="K465" t="str">
        <f>CLEAN("MANITOWOC                     ")</f>
        <v xml:space="preserve">MANITOWOC                     </v>
      </c>
      <c r="L465" t="str">
        <f>CLEAN("C TWO RIVERS, WASHINGTON ST        ")</f>
        <v xml:space="preserve">C TWO RIVERS, WASHINGTON ST        </v>
      </c>
      <c r="M465" t="str">
        <f>CLEAN("16TH ST - 18TH ST SIGNAL REHAB     ")</f>
        <v xml:space="preserve">16TH ST - 18TH ST SIGNAL REHAB     </v>
      </c>
      <c r="N465">
        <v>0.17599999999999999</v>
      </c>
      <c r="O465" t="str">
        <f t="shared" si="152"/>
        <v xml:space="preserve">          </v>
      </c>
      <c r="P465" t="str">
        <f t="shared" si="148"/>
        <v xml:space="preserve">INTELLIGENT TRANSPORTATION SYSTEMS (ITS)                                                            </v>
      </c>
    </row>
    <row r="466" spans="1:16" x14ac:dyDescent="0.25">
      <c r="A466" t="str">
        <f t="shared" si="145"/>
        <v>10</v>
      </c>
      <c r="B466" t="str">
        <f t="shared" si="151"/>
        <v>23</v>
      </c>
      <c r="C466" s="1">
        <v>45529</v>
      </c>
      <c r="D466" t="str">
        <f>CLEAN("3700-30-50")</f>
        <v>3700-30-50</v>
      </c>
      <c r="E466" t="str">
        <f t="shared" si="146"/>
        <v xml:space="preserve">305  </v>
      </c>
      <c r="F466" t="str">
        <f>CLEAN("$250,000 - $499,999      ")</f>
        <v xml:space="preserve">$250,000 - $499,999      </v>
      </c>
      <c r="G466" t="str">
        <f t="shared" si="150"/>
        <v>MIS</v>
      </c>
      <c r="H466" t="str">
        <f t="shared" si="147"/>
        <v>NONLET CONSTR/REAL ESTATE</v>
      </c>
      <c r="I466" t="str">
        <f>CLEAN("TRF OPS/TOSIG NE2401L              ")</f>
        <v xml:space="preserve">TRF OPS/TOSIG NE2401L              </v>
      </c>
      <c r="J466" t="str">
        <f>CLEAN("STH 028")</f>
        <v>STH 028</v>
      </c>
      <c r="K466" t="str">
        <f>CLEAN("SHEBOYGAN                     ")</f>
        <v xml:space="preserve">SHEBOYGAN                     </v>
      </c>
      <c r="L466" t="str">
        <f>CLEAN("C SHEBOYGAN, BUSINESS DRIVE        ")</f>
        <v xml:space="preserve">C SHEBOYGAN, BUSINESS DRIVE        </v>
      </c>
      <c r="M466" t="str">
        <f>CLEAN("WASHINGTON AVE  SIGNAL REHAB       ")</f>
        <v xml:space="preserve">WASHINGTON AVE  SIGNAL REHAB       </v>
      </c>
      <c r="N466">
        <v>6.0999999999999999E-2</v>
      </c>
      <c r="O466" t="str">
        <f t="shared" si="152"/>
        <v xml:space="preserve">          </v>
      </c>
      <c r="P466" t="str">
        <f t="shared" si="148"/>
        <v xml:space="preserve">INTELLIGENT TRANSPORTATION SYSTEMS (ITS)                                                            </v>
      </c>
    </row>
    <row r="467" spans="1:16" x14ac:dyDescent="0.25">
      <c r="A467" t="str">
        <f t="shared" si="145"/>
        <v>10</v>
      </c>
      <c r="B467" t="str">
        <f t="shared" si="151"/>
        <v>23</v>
      </c>
      <c r="C467" s="1">
        <v>45560</v>
      </c>
      <c r="D467" t="str">
        <f>CLEAN("3700-30-51")</f>
        <v>3700-30-51</v>
      </c>
      <c r="E467" t="str">
        <f t="shared" si="146"/>
        <v xml:space="preserve">305  </v>
      </c>
      <c r="F467" t="str">
        <f>CLEAN("$100,000-$249,999        ")</f>
        <v xml:space="preserve">$100,000-$249,999        </v>
      </c>
      <c r="G467" t="str">
        <f t="shared" si="150"/>
        <v>MIS</v>
      </c>
      <c r="H467" t="str">
        <f t="shared" si="147"/>
        <v>NONLET CONSTR/REAL ESTATE</v>
      </c>
      <c r="I467" t="str">
        <f>CLEAN("TRF OPS/TOSIG NE2402L              ")</f>
        <v xml:space="preserve">TRF OPS/TOSIG NE2402L              </v>
      </c>
      <c r="J467" t="str">
        <f>CLEAN("STH 042")</f>
        <v>STH 042</v>
      </c>
      <c r="K467" t="str">
        <f>CLEAN("MANITOWOC                     ")</f>
        <v xml:space="preserve">MANITOWOC                     </v>
      </c>
      <c r="L467" t="str">
        <f>CLEAN("C TWO RIVERS, WASHINGTON ST        ")</f>
        <v xml:space="preserve">C TWO RIVERS, WASHINGTON ST        </v>
      </c>
      <c r="M467" t="str">
        <f>CLEAN("16TH ST - 18TH ST SIGNAL REHAB     ")</f>
        <v xml:space="preserve">16TH ST - 18TH ST SIGNAL REHAB     </v>
      </c>
      <c r="N467">
        <v>0.17599999999999999</v>
      </c>
      <c r="O467" t="str">
        <f t="shared" si="152"/>
        <v xml:space="preserve">          </v>
      </c>
      <c r="P467" t="str">
        <f t="shared" si="148"/>
        <v xml:space="preserve">INTELLIGENT TRANSPORTATION SYSTEMS (ITS)                                                            </v>
      </c>
    </row>
    <row r="468" spans="1:16" x14ac:dyDescent="0.25">
      <c r="A468" t="str">
        <f t="shared" si="145"/>
        <v>10</v>
      </c>
      <c r="B468" t="str">
        <f t="shared" si="151"/>
        <v>23</v>
      </c>
      <c r="C468" s="1">
        <v>45498</v>
      </c>
      <c r="D468" t="str">
        <f>CLEAN("3700-30-56")</f>
        <v>3700-30-56</v>
      </c>
      <c r="E468" t="str">
        <f t="shared" si="146"/>
        <v xml:space="preserve">305  </v>
      </c>
      <c r="F468" t="str">
        <f>CLEAN("$100,000-$249,999        ")</f>
        <v xml:space="preserve">$100,000-$249,999        </v>
      </c>
      <c r="G468" t="str">
        <f t="shared" si="150"/>
        <v>MIS</v>
      </c>
      <c r="H468" t="str">
        <f t="shared" si="147"/>
        <v>NONLET CONSTR/REAL ESTATE</v>
      </c>
      <c r="I468" t="str">
        <f>CLEAN("TRF DSN/OPS TOSIG NE2305L          ")</f>
        <v xml:space="preserve">TRF DSN/OPS TOSIG NE2305L          </v>
      </c>
      <c r="J468" t="str">
        <f>CLEAN("STH 114")</f>
        <v>STH 114</v>
      </c>
      <c r="K468" t="str">
        <f>CLEAN("WINNEBAGO                     ")</f>
        <v xml:space="preserve">WINNEBAGO                     </v>
      </c>
      <c r="L468" t="str">
        <f>CLEAN("C MENASHA, WASHINGTON ST           ")</f>
        <v xml:space="preserve">C MENASHA, WASHINGTON ST           </v>
      </c>
      <c r="M468" t="str">
        <f>CLEAN("RIVER ST INTERSECTION SIGNAL RTRFIT")</f>
        <v>RIVER ST INTERSECTION SIGNAL RTRFIT</v>
      </c>
      <c r="N468">
        <v>0.06</v>
      </c>
      <c r="O468" t="str">
        <f t="shared" si="152"/>
        <v xml:space="preserve">          </v>
      </c>
      <c r="P468" t="str">
        <f t="shared" si="148"/>
        <v xml:space="preserve">INTELLIGENT TRANSPORTATION SYSTEMS (ITS)                                                            </v>
      </c>
    </row>
    <row r="469" spans="1:16" x14ac:dyDescent="0.25">
      <c r="A469" t="str">
        <f t="shared" si="145"/>
        <v>10</v>
      </c>
      <c r="B469" t="str">
        <f t="shared" si="151"/>
        <v>23</v>
      </c>
      <c r="C469" s="1">
        <v>45498</v>
      </c>
      <c r="D469" t="str">
        <f>CLEAN("3700-30-58")</f>
        <v>3700-30-58</v>
      </c>
      <c r="E469" t="str">
        <f t="shared" si="146"/>
        <v xml:space="preserve">305  </v>
      </c>
      <c r="F469" t="str">
        <f>CLEAN("$250,000 - $499,999      ")</f>
        <v xml:space="preserve">$250,000 - $499,999      </v>
      </c>
      <c r="G469" t="str">
        <f t="shared" si="150"/>
        <v>MIS</v>
      </c>
      <c r="H469" t="str">
        <f t="shared" si="147"/>
        <v>NONLET CONSTR/REAL ESTATE</v>
      </c>
      <c r="I469" t="str">
        <f>CLEAN("TRF DSN/TOSIG SIGNAL REHAB NE2303L ")</f>
        <v xml:space="preserve">TRF DSN/TOSIG SIGNAL REHAB NE2303L </v>
      </c>
      <c r="J469" t="str">
        <f>CLEAN("STH 023")</f>
        <v>STH 023</v>
      </c>
      <c r="K469" t="str">
        <f>CLEAN("SHEBOYGAN                     ")</f>
        <v xml:space="preserve">SHEBOYGAN                     </v>
      </c>
      <c r="L469" t="str">
        <f>CLEAN("C SHEBOYGAN, KOHLER MEMORIAL DR    ")</f>
        <v xml:space="preserve">C SHEBOYGAN, KOHLER MEMORIAL DR    </v>
      </c>
      <c r="M469" t="str">
        <f>CLEAN("TAYLOR DR INTERSECTION SIGNAL REHAB")</f>
        <v>TAYLOR DR INTERSECTION SIGNAL REHAB</v>
      </c>
      <c r="N469">
        <v>0.39</v>
      </c>
      <c r="O469" t="str">
        <f t="shared" si="152"/>
        <v xml:space="preserve">          </v>
      </c>
      <c r="P469" t="str">
        <f t="shared" si="148"/>
        <v xml:space="preserve">INTELLIGENT TRANSPORTATION SYSTEMS (ITS)                                                            </v>
      </c>
    </row>
    <row r="470" spans="1:16" x14ac:dyDescent="0.25">
      <c r="A470" t="str">
        <f t="shared" si="145"/>
        <v>10</v>
      </c>
      <c r="B470" t="str">
        <f t="shared" si="151"/>
        <v>23</v>
      </c>
      <c r="C470" s="1">
        <v>45285</v>
      </c>
      <c r="D470" t="str">
        <f>CLEAN("3700-30-60")</f>
        <v>3700-30-60</v>
      </c>
      <c r="E470" t="str">
        <f t="shared" si="146"/>
        <v xml:space="preserve">305  </v>
      </c>
      <c r="F470" t="str">
        <f>CLEAN("$250,000 - $499,999      ")</f>
        <v xml:space="preserve">$250,000 - $499,999      </v>
      </c>
      <c r="G470" t="str">
        <f t="shared" si="150"/>
        <v>MIS</v>
      </c>
      <c r="H470" t="str">
        <f t="shared" si="147"/>
        <v>NONLET CONSTR/REAL ESTATE</v>
      </c>
      <c r="I470" t="str">
        <f>CLEAN("TRF OPS/TOSIG SIGNAL REHAB NE2303L ")</f>
        <v xml:space="preserve">TRF OPS/TOSIG SIGNAL REHAB NE2303L </v>
      </c>
      <c r="J470" t="str">
        <f>CLEAN("STH 015")</f>
        <v>STH 015</v>
      </c>
      <c r="K470" t="str">
        <f>CLEAN("OUTAGAMIE                     ")</f>
        <v xml:space="preserve">OUTAGAMIE                     </v>
      </c>
      <c r="L470" t="str">
        <f>CLEAN("V GREENVILLE, SIGNAL RETROFIT      ")</f>
        <v xml:space="preserve">V GREENVILLE, SIGNAL RETROFIT      </v>
      </c>
      <c r="M470" t="str">
        <f>CLEAN("STH 15 &amp; STH 76                    ")</f>
        <v xml:space="preserve">STH 15 &amp; STH 76                    </v>
      </c>
      <c r="N470">
        <v>4.7E-2</v>
      </c>
      <c r="O470" t="str">
        <f t="shared" si="152"/>
        <v xml:space="preserve">          </v>
      </c>
      <c r="P470" t="str">
        <f t="shared" si="148"/>
        <v xml:space="preserve">INTELLIGENT TRANSPORTATION SYSTEMS (ITS)                                                            </v>
      </c>
    </row>
    <row r="471" spans="1:16" x14ac:dyDescent="0.25">
      <c r="A471" t="str">
        <f t="shared" si="145"/>
        <v>10</v>
      </c>
      <c r="B471" t="str">
        <f t="shared" si="151"/>
        <v>23</v>
      </c>
      <c r="C471" s="1">
        <v>45468</v>
      </c>
      <c r="D471" t="str">
        <f>CLEAN("3700-30-61")</f>
        <v>3700-30-61</v>
      </c>
      <c r="E471" t="str">
        <f t="shared" si="146"/>
        <v xml:space="preserve">305  </v>
      </c>
      <c r="F471" t="str">
        <f t="shared" ref="F471:F476" si="153">CLEAN("$0 - $99,999             ")</f>
        <v xml:space="preserve">$0 - $99,999             </v>
      </c>
      <c r="G471" t="str">
        <f t="shared" si="150"/>
        <v>MIS</v>
      </c>
      <c r="H471" t="str">
        <f t="shared" si="147"/>
        <v>NONLET CONSTR/REAL ESTATE</v>
      </c>
      <c r="I471" t="str">
        <f>CLEAN("TRAFFIC/MISC-SIGNAL REHAB          ")</f>
        <v xml:space="preserve">TRAFFIC/MISC-SIGNAL REHAB          </v>
      </c>
      <c r="J471" t="str">
        <f>CLEAN("VAR HWY")</f>
        <v>VAR HWY</v>
      </c>
      <c r="K471" t="str">
        <f>CLEAN("NORTHEAST REGION WIDE         ")</f>
        <v xml:space="preserve">NORTHEAST REGION WIDE         </v>
      </c>
      <c r="L471" t="str">
        <f>CLEAN("NE REGION LED SIGNAL REPLACEMENT   ")</f>
        <v xml:space="preserve">NE REGION LED SIGNAL REPLACEMENT   </v>
      </c>
      <c r="M471" t="str">
        <f>CLEAN("FY24 NE REGION WIDE/STH/USH        ")</f>
        <v xml:space="preserve">FY24 NE REGION WIDE/STH/USH        </v>
      </c>
      <c r="N471">
        <v>0</v>
      </c>
      <c r="O471" t="str">
        <f t="shared" si="152"/>
        <v xml:space="preserve">          </v>
      </c>
      <c r="P471" t="str">
        <f t="shared" si="148"/>
        <v xml:space="preserve">INTELLIGENT TRANSPORTATION SYSTEMS (ITS)                                                            </v>
      </c>
    </row>
    <row r="472" spans="1:16" x14ac:dyDescent="0.25">
      <c r="A472" t="str">
        <f t="shared" si="145"/>
        <v>10</v>
      </c>
      <c r="B472" t="str">
        <f t="shared" ref="B472:B477" si="154">CLEAN("24")</f>
        <v>24</v>
      </c>
      <c r="C472" s="1">
        <v>45285</v>
      </c>
      <c r="D472" t="str">
        <f>CLEAN("3700-40-26")</f>
        <v>3700-40-26</v>
      </c>
      <c r="E472" t="str">
        <f t="shared" si="146"/>
        <v xml:space="preserve">305  </v>
      </c>
      <c r="F472" t="str">
        <f t="shared" si="153"/>
        <v xml:space="preserve">$0 - $99,999             </v>
      </c>
      <c r="G472" t="str">
        <f t="shared" si="150"/>
        <v>MIS</v>
      </c>
      <c r="H472" t="str">
        <f t="shared" si="147"/>
        <v>NONLET CONSTR/REAL ESTATE</v>
      </c>
      <c r="I472" t="str">
        <f>CLEAN("ITS/FIBER OPTIC INSTALL            ")</f>
        <v xml:space="preserve">ITS/FIBER OPTIC INSTALL            </v>
      </c>
      <c r="J472" t="str">
        <f>CLEAN("STH 051")</f>
        <v>STH 051</v>
      </c>
      <c r="K472" t="str">
        <f>CLEAN("MARATHON                      ")</f>
        <v xml:space="preserve">MARATHON                      </v>
      </c>
      <c r="L472" t="str">
        <f>CLEAN("CEDAR CREEK INTERCONNECT           ")</f>
        <v xml:space="preserve">CEDAR CREEK INTERCONNECT           </v>
      </c>
      <c r="M472" t="str">
        <f>CLEAN("VILLAGE OF ROTHSCHILD              ")</f>
        <v xml:space="preserve">VILLAGE OF ROTHSCHILD              </v>
      </c>
      <c r="N472">
        <v>0</v>
      </c>
      <c r="O472" t="str">
        <f t="shared" si="152"/>
        <v xml:space="preserve">          </v>
      </c>
      <c r="P472" t="str">
        <f t="shared" si="148"/>
        <v xml:space="preserve">INTELLIGENT TRANSPORTATION SYSTEMS (ITS)                                                            </v>
      </c>
    </row>
    <row r="473" spans="1:16" x14ac:dyDescent="0.25">
      <c r="A473" t="str">
        <f t="shared" si="145"/>
        <v>10</v>
      </c>
      <c r="B473" t="str">
        <f t="shared" si="154"/>
        <v>24</v>
      </c>
      <c r="C473" s="1">
        <v>45285</v>
      </c>
      <c r="D473" t="str">
        <f>CLEAN("3700-40-28")</f>
        <v>3700-40-28</v>
      </c>
      <c r="E473" t="str">
        <f t="shared" si="146"/>
        <v xml:space="preserve">305  </v>
      </c>
      <c r="F473" t="str">
        <f t="shared" si="153"/>
        <v xml:space="preserve">$0 - $99,999             </v>
      </c>
      <c r="G473" t="str">
        <f t="shared" si="150"/>
        <v>MIS</v>
      </c>
      <c r="H473" t="str">
        <f t="shared" si="147"/>
        <v>NONLET CONSTR/REAL ESTATE</v>
      </c>
      <c r="I473" t="str">
        <f>CLEAN("ITS/SIGNAL PLANS                   ")</f>
        <v xml:space="preserve">ITS/SIGNAL PLANS                   </v>
      </c>
      <c r="J473" t="str">
        <f>CLEAN("VAR HWY")</f>
        <v>VAR HWY</v>
      </c>
      <c r="K473" t="str">
        <f>CLEAN("NORTH CENTRAL REGION WIDE     ")</f>
        <v xml:space="preserve">NORTH CENTRAL REGION WIDE     </v>
      </c>
      <c r="L473" t="str">
        <f>CLEAN("NC REGION ASBUILTS                 ")</f>
        <v xml:space="preserve">NC REGION ASBUILTS                 </v>
      </c>
      <c r="M473" t="str">
        <f>CLEAN("VARIOUS COUNTIES                   ")</f>
        <v xml:space="preserve">VARIOUS COUNTIES                   </v>
      </c>
      <c r="N473">
        <v>0</v>
      </c>
      <c r="O473" t="str">
        <f t="shared" si="152"/>
        <v xml:space="preserve">          </v>
      </c>
      <c r="P473" t="str">
        <f t="shared" si="148"/>
        <v xml:space="preserve">INTELLIGENT TRANSPORTATION SYSTEMS (ITS)                                                            </v>
      </c>
    </row>
    <row r="474" spans="1:16" x14ac:dyDescent="0.25">
      <c r="A474" t="str">
        <f t="shared" si="145"/>
        <v>10</v>
      </c>
      <c r="B474" t="str">
        <f t="shared" si="154"/>
        <v>24</v>
      </c>
      <c r="C474" s="1">
        <v>45285</v>
      </c>
      <c r="D474" t="str">
        <f>CLEAN("3700-40-33")</f>
        <v>3700-40-33</v>
      </c>
      <c r="E474" t="str">
        <f t="shared" si="146"/>
        <v xml:space="preserve">305  </v>
      </c>
      <c r="F474" t="str">
        <f t="shared" si="153"/>
        <v xml:space="preserve">$0 - $99,999             </v>
      </c>
      <c r="G474" t="str">
        <f t="shared" si="150"/>
        <v>MIS</v>
      </c>
      <c r="H474" t="str">
        <f t="shared" si="147"/>
        <v>NONLET CONSTR/REAL ESTATE</v>
      </c>
      <c r="I474" t="str">
        <f>CLEAN("ITS/TRAFFIC/STANDALONE PROGRAM     ")</f>
        <v xml:space="preserve">ITS/TRAFFIC/STANDALONE PROGRAM     </v>
      </c>
      <c r="J474" t="str">
        <f>CLEAN("VAR HWY")</f>
        <v>VAR HWY</v>
      </c>
      <c r="K474" t="str">
        <f>CLEAN("NORTH CENTRAL REGION WIDE     ")</f>
        <v xml:space="preserve">NORTH CENTRAL REGION WIDE     </v>
      </c>
      <c r="L474" t="str">
        <f>CLEAN("LED SIGNAL HEAD REPLACEMENTS       ")</f>
        <v xml:space="preserve">LED SIGNAL HEAD REPLACEMENTS       </v>
      </c>
      <c r="M474" t="str">
        <f>CLEAN("NC REGIONWIDE VARIOUS LOCATIONS    ")</f>
        <v xml:space="preserve">NC REGIONWIDE VARIOUS LOCATIONS    </v>
      </c>
      <c r="N474">
        <v>0</v>
      </c>
      <c r="O474" t="str">
        <f t="shared" si="152"/>
        <v xml:space="preserve">          </v>
      </c>
      <c r="P474" t="str">
        <f t="shared" si="148"/>
        <v xml:space="preserve">INTELLIGENT TRANSPORTATION SYSTEMS (ITS)                                                            </v>
      </c>
    </row>
    <row r="475" spans="1:16" x14ac:dyDescent="0.25">
      <c r="A475" t="str">
        <f t="shared" si="145"/>
        <v>10</v>
      </c>
      <c r="B475" t="str">
        <f t="shared" si="154"/>
        <v>24</v>
      </c>
      <c r="C475" s="1">
        <v>45285</v>
      </c>
      <c r="D475" t="str">
        <f>CLEAN("3700-40-34")</f>
        <v>3700-40-34</v>
      </c>
      <c r="E475" t="str">
        <f t="shared" si="146"/>
        <v xml:space="preserve">305  </v>
      </c>
      <c r="F475" t="str">
        <f t="shared" si="153"/>
        <v xml:space="preserve">$0 - $99,999             </v>
      </c>
      <c r="G475" t="str">
        <f t="shared" si="150"/>
        <v>MIS</v>
      </c>
      <c r="H475" t="str">
        <f t="shared" si="147"/>
        <v>NONLET CONSTR/REAL ESTATE</v>
      </c>
      <c r="I475" t="str">
        <f>CLEAN("ITS/TRAFFIC/STANDALONE PROGRAM     ")</f>
        <v xml:space="preserve">ITS/TRAFFIC/STANDALONE PROGRAM     </v>
      </c>
      <c r="J475" t="str">
        <f>CLEAN("VAR HWY")</f>
        <v>VAR HWY</v>
      </c>
      <c r="K475" t="str">
        <f>CLEAN("NORTH CENTRAL REGION WIDE     ")</f>
        <v xml:space="preserve">NORTH CENTRAL REGION WIDE     </v>
      </c>
      <c r="L475" t="str">
        <f>CLEAN("LED SIGNAL HEAD REPLACEMENTS       ")</f>
        <v xml:space="preserve">LED SIGNAL HEAD REPLACEMENTS       </v>
      </c>
      <c r="M475" t="str">
        <f>CLEAN("NC REGIONWIDE VARIOUS LOCATIONS    ")</f>
        <v xml:space="preserve">NC REGIONWIDE VARIOUS LOCATIONS    </v>
      </c>
      <c r="N475">
        <v>0</v>
      </c>
      <c r="O475" t="str">
        <f t="shared" si="152"/>
        <v xml:space="preserve">          </v>
      </c>
      <c r="P475" t="str">
        <f t="shared" si="148"/>
        <v xml:space="preserve">INTELLIGENT TRANSPORTATION SYSTEMS (ITS)                                                            </v>
      </c>
    </row>
    <row r="476" spans="1:16" x14ac:dyDescent="0.25">
      <c r="A476" t="str">
        <f t="shared" si="145"/>
        <v>10</v>
      </c>
      <c r="B476" t="str">
        <f t="shared" si="154"/>
        <v>24</v>
      </c>
      <c r="C476" s="1">
        <v>45621</v>
      </c>
      <c r="D476" t="str">
        <f>CLEAN("3700-40-36")</f>
        <v>3700-40-36</v>
      </c>
      <c r="E476" t="str">
        <f t="shared" si="146"/>
        <v xml:space="preserve">305  </v>
      </c>
      <c r="F476" t="str">
        <f t="shared" si="153"/>
        <v xml:space="preserve">$0 - $99,999             </v>
      </c>
      <c r="G476" t="str">
        <f t="shared" si="150"/>
        <v>MIS</v>
      </c>
      <c r="H476" t="str">
        <f t="shared" si="147"/>
        <v>NONLET CONSTR/REAL ESTATE</v>
      </c>
      <c r="I476" t="str">
        <f>CLEAN("ITS/TRAFFIC/STANDALONE PROGRAM     ")</f>
        <v xml:space="preserve">ITS/TRAFFIC/STANDALONE PROGRAM     </v>
      </c>
      <c r="J476" t="str">
        <f>CLEAN("VAR HWY")</f>
        <v>VAR HWY</v>
      </c>
      <c r="K476" t="str">
        <f>CLEAN("NORTH CENTRAL REGION WIDE     ")</f>
        <v xml:space="preserve">NORTH CENTRAL REGION WIDE     </v>
      </c>
      <c r="L476" t="str">
        <f>CLEAN("LED SIGNAL HEAD REPLACEMENTS       ")</f>
        <v xml:space="preserve">LED SIGNAL HEAD REPLACEMENTS       </v>
      </c>
      <c r="M476" t="str">
        <f>CLEAN("NC REGIONWIDE VARIOUS LOCATIONS    ")</f>
        <v xml:space="preserve">NC REGIONWIDE VARIOUS LOCATIONS    </v>
      </c>
      <c r="N476">
        <v>0.02</v>
      </c>
      <c r="O476" t="str">
        <f t="shared" si="152"/>
        <v xml:space="preserve">          </v>
      </c>
      <c r="P476" t="str">
        <f t="shared" si="148"/>
        <v xml:space="preserve">INTELLIGENT TRANSPORTATION SYSTEMS (ITS)                                                            </v>
      </c>
    </row>
    <row r="477" spans="1:16" x14ac:dyDescent="0.25">
      <c r="A477" t="str">
        <f t="shared" si="145"/>
        <v>10</v>
      </c>
      <c r="B477" t="str">
        <f t="shared" si="154"/>
        <v>24</v>
      </c>
      <c r="C477" s="1">
        <v>45437</v>
      </c>
      <c r="D477" t="str">
        <f>CLEAN("3700-40-39")</f>
        <v>3700-40-39</v>
      </c>
      <c r="E477" t="str">
        <f t="shared" si="146"/>
        <v xml:space="preserve">305  </v>
      </c>
      <c r="F477" t="str">
        <f>CLEAN("$100,000-$249,999        ")</f>
        <v xml:space="preserve">$100,000-$249,999        </v>
      </c>
      <c r="G477" t="str">
        <f t="shared" si="150"/>
        <v>MIS</v>
      </c>
      <c r="H477" t="str">
        <f t="shared" si="147"/>
        <v>NONLET CONSTR/REAL ESTATE</v>
      </c>
      <c r="I477" t="str">
        <f>CLEAN("ITS/CONST/STANDALONE PROGRAM       ")</f>
        <v xml:space="preserve">ITS/CONST/STANDALONE PROGRAM       </v>
      </c>
      <c r="J477" t="str">
        <f>CLEAN("STH 022")</f>
        <v>STH 022</v>
      </c>
      <c r="K477" t="str">
        <f>CLEAN("SHAWANO                       ")</f>
        <v xml:space="preserve">SHAWANO                       </v>
      </c>
      <c r="L477" t="str">
        <f>CLEAN("C SHAWANO, SIGNAL REHABILITATION   ")</f>
        <v xml:space="preserve">C SHAWANO, SIGNAL REHABILITATION   </v>
      </c>
      <c r="M477" t="str">
        <f>CLEAN("WOODLAWN DRIVE INTERSECTION        ")</f>
        <v xml:space="preserve">WOODLAWN DRIVE INTERSECTION        </v>
      </c>
      <c r="N477">
        <v>2.5999999999999999E-2</v>
      </c>
      <c r="O477" t="str">
        <f t="shared" si="152"/>
        <v xml:space="preserve">          </v>
      </c>
      <c r="P477" t="str">
        <f t="shared" si="148"/>
        <v xml:space="preserve">INTELLIGENT TRANSPORTATION SYSTEMS (ITS)                                                            </v>
      </c>
    </row>
    <row r="478" spans="1:16" x14ac:dyDescent="0.25">
      <c r="A478" t="str">
        <f t="shared" si="145"/>
        <v>10</v>
      </c>
      <c r="B478" t="str">
        <f>CLEAN("25")</f>
        <v>25</v>
      </c>
      <c r="C478" s="1">
        <v>45376</v>
      </c>
      <c r="D478" t="str">
        <f>CLEAN("3700-50-80")</f>
        <v>3700-50-80</v>
      </c>
      <c r="E478" t="str">
        <f t="shared" si="146"/>
        <v xml:space="preserve">305  </v>
      </c>
      <c r="F478" t="str">
        <f>CLEAN("$0 - $99,999             ")</f>
        <v xml:space="preserve">$0 - $99,999             </v>
      </c>
      <c r="G478" t="str">
        <f t="shared" si="150"/>
        <v>MIS</v>
      </c>
      <c r="H478" t="str">
        <f t="shared" si="147"/>
        <v>NONLET CONSTR/REAL ESTATE</v>
      </c>
      <c r="I478" t="str">
        <f>CLEAN("MISCELLANEOUS/SIGNAL RECONSTRUCTION")</f>
        <v>MISCELLANEOUS/SIGNAL RECONSTRUCTION</v>
      </c>
      <c r="J478" t="str">
        <f>CLEAN("STH 013")</f>
        <v>STH 013</v>
      </c>
      <c r="K478" t="str">
        <f>CLEAN("TAYLOR                        ")</f>
        <v xml:space="preserve">TAYLOR                        </v>
      </c>
      <c r="L478" t="str">
        <f>CLEAN("C MEDFORD, STH 13                  ")</f>
        <v xml:space="preserve">C MEDFORD, STH 13                  </v>
      </c>
      <c r="M478" t="str">
        <f>CLEAN("STH 64 INTERSECTION                ")</f>
        <v xml:space="preserve">STH 64 INTERSECTION                </v>
      </c>
      <c r="N478">
        <v>1.9E-2</v>
      </c>
      <c r="O478" t="str">
        <f t="shared" si="152"/>
        <v xml:space="preserve">          </v>
      </c>
      <c r="P478" t="str">
        <f t="shared" si="148"/>
        <v xml:space="preserve">INTELLIGENT TRANSPORTATION SYSTEMS (ITS)                                                            </v>
      </c>
    </row>
    <row r="479" spans="1:16" x14ac:dyDescent="0.25">
      <c r="A479" t="str">
        <f t="shared" si="145"/>
        <v>10</v>
      </c>
      <c r="B479" t="str">
        <f>CLEAN("25")</f>
        <v>25</v>
      </c>
      <c r="C479" s="1">
        <v>45376</v>
      </c>
      <c r="D479" t="str">
        <f>CLEAN("3700-50-84")</f>
        <v>3700-50-84</v>
      </c>
      <c r="E479" t="str">
        <f t="shared" si="146"/>
        <v xml:space="preserve">305  </v>
      </c>
      <c r="F479" t="str">
        <f>CLEAN("$250,000 - $499,999      ")</f>
        <v xml:space="preserve">$250,000 - $499,999      </v>
      </c>
      <c r="G479" t="str">
        <f t="shared" si="150"/>
        <v>MIS</v>
      </c>
      <c r="H479" t="str">
        <f t="shared" si="147"/>
        <v>NONLET CONSTR/REAL ESTATE</v>
      </c>
      <c r="I479" t="str">
        <f>CLEAN("ITS/DMS &amp; CAMERAS SFY2024          ")</f>
        <v xml:space="preserve">ITS/DMS &amp; CAMERAS SFY2024          </v>
      </c>
      <c r="J479" t="str">
        <f>CLEAN("VAR HWY")</f>
        <v>VAR HWY</v>
      </c>
      <c r="K479" t="str">
        <f>CLEAN("NORTHWEST REGION WIDE         ")</f>
        <v xml:space="preserve">NORTHWEST REGION WIDE         </v>
      </c>
      <c r="L479" t="str">
        <f>CLEAN("NW REGION, DMS &amp; CAMERAS           ")</f>
        <v xml:space="preserve">NW REGION, DMS &amp; CAMERAS           </v>
      </c>
      <c r="M479" t="str">
        <f>CLEAN("VARIOUS HWY ASHLAND/BAYFIELD COUNTY")</f>
        <v>VARIOUS HWY ASHLAND/BAYFIELD COUNTY</v>
      </c>
      <c r="N479">
        <v>0</v>
      </c>
      <c r="O479" t="str">
        <f t="shared" si="152"/>
        <v xml:space="preserve">          </v>
      </c>
      <c r="P479" t="str">
        <f t="shared" si="148"/>
        <v xml:space="preserve">INTELLIGENT TRANSPORTATION SYSTEMS (ITS)                                                            </v>
      </c>
    </row>
    <row r="480" spans="1:16" x14ac:dyDescent="0.25">
      <c r="A480" t="str">
        <f t="shared" si="145"/>
        <v>10</v>
      </c>
      <c r="B480" t="str">
        <f>CLEAN("25")</f>
        <v>25</v>
      </c>
      <c r="C480" s="1">
        <v>45590</v>
      </c>
      <c r="D480" t="str">
        <f>CLEAN("3700-50-85")</f>
        <v>3700-50-85</v>
      </c>
      <c r="E480" t="str">
        <f t="shared" si="146"/>
        <v xml:space="preserve">305  </v>
      </c>
      <c r="F480" t="str">
        <f>CLEAN("$0 - $99,999             ")</f>
        <v xml:space="preserve">$0 - $99,999             </v>
      </c>
      <c r="G480" t="str">
        <f t="shared" si="150"/>
        <v>MIS</v>
      </c>
      <c r="H480" t="str">
        <f t="shared" si="147"/>
        <v>NONLET CONSTR/REAL ESTATE</v>
      </c>
      <c r="I480" t="str">
        <f>CLEAN("MISC/LED REPLACEMENTS FY2025       ")</f>
        <v xml:space="preserve">MISC/LED REPLACEMENTS FY2025       </v>
      </c>
      <c r="J480" t="str">
        <f>CLEAN("VAR HWY")</f>
        <v>VAR HWY</v>
      </c>
      <c r="K480" t="str">
        <f>CLEAN("NORTHWEST REGION WIDE         ")</f>
        <v xml:space="preserve">NORTHWEST REGION WIDE         </v>
      </c>
      <c r="L480" t="str">
        <f>CLEAN("NW REGION, VARIOUS HIGHWAYS        ")</f>
        <v xml:space="preserve">NW REGION, VARIOUS HIGHWAYS        </v>
      </c>
      <c r="M480" t="str">
        <f>CLEAN("TRAFFIC SIGNAL LED REPLACEMENTS    ")</f>
        <v xml:space="preserve">TRAFFIC SIGNAL LED REPLACEMENTS    </v>
      </c>
      <c r="N480">
        <v>0</v>
      </c>
      <c r="O480" t="str">
        <f t="shared" si="152"/>
        <v xml:space="preserve">          </v>
      </c>
      <c r="P480" t="str">
        <f t="shared" si="148"/>
        <v xml:space="preserve">INTELLIGENT TRANSPORTATION SYSTEMS (ITS)                                                            </v>
      </c>
    </row>
    <row r="481" spans="1:16" x14ac:dyDescent="0.25">
      <c r="A481" t="str">
        <f t="shared" si="145"/>
        <v>10</v>
      </c>
      <c r="B481" t="str">
        <f>CLEAN("25")</f>
        <v>25</v>
      </c>
      <c r="C481" s="1">
        <v>45285</v>
      </c>
      <c r="D481" t="str">
        <f>CLEAN("3700-50-88")</f>
        <v>3700-50-88</v>
      </c>
      <c r="E481" t="str">
        <f t="shared" si="146"/>
        <v xml:space="preserve">305  </v>
      </c>
      <c r="F481" t="str">
        <f>CLEAN("$0 - $99,999             ")</f>
        <v xml:space="preserve">$0 - $99,999             </v>
      </c>
      <c r="G481" t="str">
        <f t="shared" si="150"/>
        <v>MIS</v>
      </c>
      <c r="H481" t="str">
        <f t="shared" si="147"/>
        <v>NONLET CONSTR/REAL ESTATE</v>
      </c>
      <c r="I481" t="str">
        <f>CLEAN("TRF OPS/SGNL CABINET UPGRADES/SFY24")</f>
        <v>TRF OPS/SGNL CABINET UPGRADES/SFY24</v>
      </c>
      <c r="J481" t="str">
        <f>CLEAN("VAR HWY")</f>
        <v>VAR HWY</v>
      </c>
      <c r="K481" t="str">
        <f>CLEAN("NORTHWEST REGION WIDE         ")</f>
        <v xml:space="preserve">NORTHWEST REGION WIDE         </v>
      </c>
      <c r="L481" t="str">
        <f>CLEAN("NWREGION,VAR SGNLIZED INTERSECTIONS")</f>
        <v>NWREGION,VAR SGNLIZED INTERSECTIONS</v>
      </c>
      <c r="M481" t="str">
        <f>CLEAN("VAR HWY &amp; LOC/SGNL CABINET UPGRADES")</f>
        <v>VAR HWY &amp; LOC/SGNL CABINET UPGRADES</v>
      </c>
      <c r="N481">
        <v>0</v>
      </c>
      <c r="O481" t="str">
        <f t="shared" si="152"/>
        <v xml:space="preserve">          </v>
      </c>
      <c r="P481" t="str">
        <f t="shared" si="148"/>
        <v xml:space="preserve">INTELLIGENT TRANSPORTATION SYSTEMS (ITS)                                                            </v>
      </c>
    </row>
    <row r="482" spans="1:16" x14ac:dyDescent="0.25">
      <c r="A482" t="str">
        <f t="shared" si="145"/>
        <v>10</v>
      </c>
      <c r="B482" t="str">
        <f>CLEAN("25")</f>
        <v>25</v>
      </c>
      <c r="C482" s="1">
        <v>45651</v>
      </c>
      <c r="D482" t="str">
        <f>CLEAN("3700-50-89")</f>
        <v>3700-50-89</v>
      </c>
      <c r="E482" t="str">
        <f t="shared" si="146"/>
        <v xml:space="preserve">305  </v>
      </c>
      <c r="F482" t="str">
        <f>CLEAN("$100,000-$249,999        ")</f>
        <v xml:space="preserve">$100,000-$249,999        </v>
      </c>
      <c r="G482" t="str">
        <f t="shared" si="150"/>
        <v>MIS</v>
      </c>
      <c r="H482" t="str">
        <f t="shared" si="147"/>
        <v>NONLET CONSTR/REAL ESTATE</v>
      </c>
      <c r="I482" t="str">
        <f>CLEAN("TRF OPS/SGNL CABINET UPGRADES/SFY25")</f>
        <v>TRF OPS/SGNL CABINET UPGRADES/SFY25</v>
      </c>
      <c r="J482" t="str">
        <f>CLEAN("VAR HWY")</f>
        <v>VAR HWY</v>
      </c>
      <c r="K482" t="str">
        <f>CLEAN("NORTHWEST REGION WIDE         ")</f>
        <v xml:space="preserve">NORTHWEST REGION WIDE         </v>
      </c>
      <c r="L482" t="str">
        <f>CLEAN("NWREGION,VAR SGNLIZED INTERSECTIONS")</f>
        <v>NWREGION,VAR SGNLIZED INTERSECTIONS</v>
      </c>
      <c r="M482" t="str">
        <f>CLEAN("VAR HWY &amp; LOC/SGNL CABINET UPGRADES")</f>
        <v>VAR HWY &amp; LOC/SGNL CABINET UPGRADES</v>
      </c>
      <c r="N482">
        <v>0</v>
      </c>
      <c r="O482" t="str">
        <f t="shared" si="152"/>
        <v xml:space="preserve">          </v>
      </c>
      <c r="P482" t="str">
        <f t="shared" si="148"/>
        <v xml:space="preserve">INTELLIGENT TRANSPORTATION SYSTEMS (ITS)                                                            </v>
      </c>
    </row>
    <row r="483" spans="1:16" x14ac:dyDescent="0.25">
      <c r="A483" t="str">
        <f t="shared" si="145"/>
        <v>10</v>
      </c>
      <c r="B483" t="str">
        <f>CLEAN("22")</f>
        <v>22</v>
      </c>
      <c r="C483" s="1">
        <v>45560</v>
      </c>
      <c r="D483" t="str">
        <f>CLEAN("3736-05-71")</f>
        <v>3736-05-71</v>
      </c>
      <c r="E483" t="str">
        <f>CLEAN("290  ")</f>
        <v xml:space="preserve">290  </v>
      </c>
      <c r="F483" t="str">
        <f>CLEAN("$750,000 - $999,999      ")</f>
        <v xml:space="preserve">$750,000 - $999,999      </v>
      </c>
      <c r="G483" t="str">
        <f>CLEAN("LLC")</f>
        <v>LLC</v>
      </c>
      <c r="H483" t="str">
        <f t="shared" si="147"/>
        <v>NONLET CONSTR/REAL ESTATE</v>
      </c>
      <c r="I483" t="str">
        <f>CLEAN("CONST/TRAIL                        ")</f>
        <v xml:space="preserve">CONST/TRAIL                        </v>
      </c>
      <c r="J483" t="str">
        <f>CLEAN("NON HWY")</f>
        <v>NON HWY</v>
      </c>
      <c r="K483" t="str">
        <f>CLEAN("KENOSHA                       ")</f>
        <v xml:space="preserve">KENOSHA                       </v>
      </c>
      <c r="L483" t="str">
        <f>CLEAN("CTH C TRAIL PHASE 2                ")</f>
        <v xml:space="preserve">CTH C TRAIL PHASE 2                </v>
      </c>
      <c r="M483" t="str">
        <f>CLEAN("128TH AVE TO 136TH AVE             ")</f>
        <v xml:space="preserve">128TH AVE TO 136TH AVE             </v>
      </c>
      <c r="N483">
        <v>0</v>
      </c>
      <c r="O483" t="str">
        <f t="shared" si="152"/>
        <v xml:space="preserve">          </v>
      </c>
      <c r="P483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484" spans="1:16" x14ac:dyDescent="0.25">
      <c r="A484" t="str">
        <f t="shared" si="145"/>
        <v>10</v>
      </c>
      <c r="B484" t="str">
        <f>CLEAN("22")</f>
        <v>22</v>
      </c>
      <c r="C484" s="1">
        <v>45407</v>
      </c>
      <c r="D484" t="str">
        <f>CLEAN("3738-09-20")</f>
        <v>3738-09-20</v>
      </c>
      <c r="E484" t="str">
        <f>CLEAN("303  ")</f>
        <v xml:space="preserve">303  </v>
      </c>
      <c r="F484" t="str">
        <f>CLEAN("$500,000 - $749,999      ")</f>
        <v xml:space="preserve">$500,000 - $749,999      </v>
      </c>
      <c r="G484" t="str">
        <f>CLEAN("R/E")</f>
        <v>R/E</v>
      </c>
      <c r="H484" t="str">
        <f t="shared" si="147"/>
        <v>NONLET CONSTR/REAL ESTATE</v>
      </c>
      <c r="I484" t="str">
        <f>CLEAN("RE/PAVE REPLACE                    ")</f>
        <v xml:space="preserve">RE/PAVE REPLACE                    </v>
      </c>
      <c r="J484" t="str">
        <f>CLEAN("STH 165")</f>
        <v>STH 165</v>
      </c>
      <c r="K484" t="str">
        <f>CLEAN("KENOSHA                       ")</f>
        <v xml:space="preserve">KENOSHA                       </v>
      </c>
      <c r="L484" t="str">
        <f>CLEAN("V PLEASANT PRAIRIE, 104TH STREET   ")</f>
        <v xml:space="preserve">V PLEASANT PRAIRIE, 104TH STREET   </v>
      </c>
      <c r="M484" t="str">
        <f>CLEAN("65TH AV TO CTH ML, CTH EZ TO STH 32")</f>
        <v>65TH AV TO CTH ML, CTH EZ TO STH 32</v>
      </c>
      <c r="N484">
        <v>3.4849999999999999</v>
      </c>
      <c r="O484" t="str">
        <f t="shared" si="152"/>
        <v xml:space="preserve">          </v>
      </c>
      <c r="P48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85" spans="1:16" x14ac:dyDescent="0.25">
      <c r="A485" t="str">
        <f t="shared" si="145"/>
        <v>10</v>
      </c>
      <c r="B485" t="str">
        <f>CLEAN("22")</f>
        <v>22</v>
      </c>
      <c r="C485" s="1">
        <v>45608</v>
      </c>
      <c r="D485" t="str">
        <f>CLEAN("3745-05-70")</f>
        <v>3745-05-70</v>
      </c>
      <c r="E485" t="str">
        <f t="shared" ref="E485:E490" si="155">CLEAN("205  ")</f>
        <v xml:space="preserve">205  </v>
      </c>
      <c r="F485" t="str">
        <f>CLEAN("$1,000,000 - $1,999,999  ")</f>
        <v xml:space="preserve">$1,000,000 - $1,999,999  </v>
      </c>
      <c r="G485" t="str">
        <f t="shared" ref="G485:G490" si="156">CLEAN("LET")</f>
        <v>LET</v>
      </c>
      <c r="H485" t="str">
        <f t="shared" ref="H485:H490" si="157">CLEAN("LET CONSTRUCTION         ")</f>
        <v xml:space="preserve">LET CONSTRUCTION         </v>
      </c>
      <c r="I485" t="str">
        <f>CLEAN("CONST/BRIDGE REPLACEMENT           ")</f>
        <v xml:space="preserve">CONST/BRIDGE REPLACEMENT           </v>
      </c>
      <c r="J485" t="str">
        <f>CLEAN("CTH WG ")</f>
        <v xml:space="preserve">CTH WG </v>
      </c>
      <c r="K485" t="str">
        <f>CLEAN("KENOSHA                       ")</f>
        <v xml:space="preserve">KENOSHA                       </v>
      </c>
      <c r="L485" t="str">
        <f>CLEAN("V BRISTOL, 128TH ST                ")</f>
        <v xml:space="preserve">V BRISTOL, 128TH ST                </v>
      </c>
      <c r="M485" t="str">
        <f>CLEAN("DUTCH GAP CANAL BRIDGE P30-910     ")</f>
        <v xml:space="preserve">DUTCH GAP CANAL BRIDGE P30-910     </v>
      </c>
      <c r="N485">
        <v>5.0000000000000001E-3</v>
      </c>
      <c r="O485" t="str">
        <f t="shared" si="152"/>
        <v xml:space="preserve">          </v>
      </c>
      <c r="P485" t="str">
        <f t="shared" ref="P485:P490" si="158"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86" spans="1:16" x14ac:dyDescent="0.25">
      <c r="A486" t="str">
        <f t="shared" si="145"/>
        <v>10</v>
      </c>
      <c r="B486" t="str">
        <f>CLEAN("22")</f>
        <v>22</v>
      </c>
      <c r="C486" s="1">
        <v>45608</v>
      </c>
      <c r="D486" t="str">
        <f>CLEAN("3765-05-70")</f>
        <v>3765-05-70</v>
      </c>
      <c r="E486" t="str">
        <f t="shared" si="155"/>
        <v xml:space="preserve">205  </v>
      </c>
      <c r="F486" t="str">
        <f>CLEAN("$500,000 - $749,999      ")</f>
        <v xml:space="preserve">$500,000 - $749,999      </v>
      </c>
      <c r="G486" t="str">
        <f t="shared" si="156"/>
        <v>LET</v>
      </c>
      <c r="H486" t="str">
        <f t="shared" si="157"/>
        <v xml:space="preserve">LET CONSTRUCTION         </v>
      </c>
      <c r="I486" t="str">
        <f>CLEAN("CONST/BRRHB                        ")</f>
        <v xml:space="preserve">CONST/BRRHB                        </v>
      </c>
      <c r="J486" t="str">
        <f>CLEAN("CTH A  ")</f>
        <v xml:space="preserve">CTH A  </v>
      </c>
      <c r="K486" t="str">
        <f>CLEAN("KENOSHA                       ")</f>
        <v xml:space="preserve">KENOSHA                       </v>
      </c>
      <c r="L486" t="str">
        <f>CLEAN("V SOMERS, 7TH ST                   ")</f>
        <v xml:space="preserve">V SOMERS, 7TH ST                   </v>
      </c>
      <c r="M486" t="str">
        <f>CLEAN("PIKE RIVER BRIDGE P30-021          ")</f>
        <v xml:space="preserve">PIKE RIVER BRIDGE P30-021          </v>
      </c>
      <c r="N486">
        <v>0</v>
      </c>
      <c r="O486" t="str">
        <f t="shared" si="152"/>
        <v xml:space="preserve">          </v>
      </c>
      <c r="P486" t="str">
        <f t="shared" si="158"/>
        <v xml:space="preserve">LOCAL BRIDGES                                                                                       </v>
      </c>
    </row>
    <row r="487" spans="1:16" x14ac:dyDescent="0.25">
      <c r="A487" t="str">
        <f t="shared" si="145"/>
        <v>10</v>
      </c>
      <c r="B487" t="str">
        <f>CLEAN("21")</f>
        <v>21</v>
      </c>
      <c r="C487" s="1">
        <v>45636</v>
      </c>
      <c r="D487" t="str">
        <f>CLEAN("3804-00-75")</f>
        <v>3804-00-75</v>
      </c>
      <c r="E487" t="str">
        <f t="shared" si="155"/>
        <v xml:space="preserve">205  </v>
      </c>
      <c r="F487" t="str">
        <f>CLEAN("$250,000 - $499,999      ")</f>
        <v xml:space="preserve">$250,000 - $499,999      </v>
      </c>
      <c r="G487" t="str">
        <f t="shared" si="156"/>
        <v>LET</v>
      </c>
      <c r="H487" t="str">
        <f t="shared" si="157"/>
        <v xml:space="preserve">LET CONSTRUCTION         </v>
      </c>
      <c r="I487" t="str">
        <f>CLEAN("CONST/BRIDGE REPLACEMENT           ")</f>
        <v xml:space="preserve">CONST/BRIDGE REPLACEMENT           </v>
      </c>
      <c r="J487" t="str">
        <f>CLEAN("LOC STR")</f>
        <v>LOC STR</v>
      </c>
      <c r="K487" t="str">
        <f>CLEAN("DODGE                         ")</f>
        <v xml:space="preserve">DODGE                         </v>
      </c>
      <c r="L487" t="str">
        <f>CLEAN("TOWN OF LOWELL, WELL ROAD          ")</f>
        <v xml:space="preserve">TOWN OF LOWELL, WELL ROAD          </v>
      </c>
      <c r="M487" t="str">
        <f>CLEAN("SHAW CREEK BRIDGE, B-13-0226       ")</f>
        <v xml:space="preserve">SHAW CREEK BRIDGE, B-13-0226       </v>
      </c>
      <c r="N487">
        <v>0</v>
      </c>
      <c r="O487" t="str">
        <f t="shared" si="152"/>
        <v xml:space="preserve">          </v>
      </c>
      <c r="P487" t="str">
        <f t="shared" si="158"/>
        <v xml:space="preserve">LOCAL BRIDGES                                                                                       </v>
      </c>
    </row>
    <row r="488" spans="1:16" x14ac:dyDescent="0.25">
      <c r="A488" t="str">
        <f t="shared" si="145"/>
        <v>10</v>
      </c>
      <c r="B488" t="str">
        <f>CLEAN("21")</f>
        <v>21</v>
      </c>
      <c r="C488" s="1">
        <v>45300</v>
      </c>
      <c r="D488" t="str">
        <f>CLEAN("3813-00-70")</f>
        <v>3813-00-70</v>
      </c>
      <c r="E488" t="str">
        <f t="shared" si="155"/>
        <v xml:space="preserve">205  </v>
      </c>
      <c r="F488" t="str">
        <f>CLEAN("$250,000 - $499,999      ")</f>
        <v xml:space="preserve">$250,000 - $499,999      </v>
      </c>
      <c r="G488" t="str">
        <f t="shared" si="156"/>
        <v>LET</v>
      </c>
      <c r="H488" t="str">
        <f t="shared" si="157"/>
        <v xml:space="preserve">LET CONSTRUCTION         </v>
      </c>
      <c r="I488" t="str">
        <f>CLEAN("CONST/BRIDGE REPLACEMENT           ")</f>
        <v xml:space="preserve">CONST/BRIDGE REPLACEMENT           </v>
      </c>
      <c r="J488" t="str">
        <f>CLEAN("LOC STR")</f>
        <v>LOC STR</v>
      </c>
      <c r="K488" t="str">
        <f>CLEAN("DODGE                         ")</f>
        <v xml:space="preserve">DODGE                         </v>
      </c>
      <c r="L488" t="str">
        <f>CLEAN("TOWN OF HUBBARD, WILDCAT ROAD      ")</f>
        <v xml:space="preserve">TOWN OF HUBBARD, WILDCAT ROAD      </v>
      </c>
      <c r="M488" t="str">
        <f>CLEAN("WILDCAT CREEK BRIDGE, B-14-0227    ")</f>
        <v xml:space="preserve">WILDCAT CREEK BRIDGE, B-14-0227    </v>
      </c>
      <c r="N488">
        <v>3.3000000000000002E-2</v>
      </c>
      <c r="O488" t="str">
        <f>CLEAN("3926-00-70")</f>
        <v>3926-00-70</v>
      </c>
      <c r="P488" t="str">
        <f t="shared" si="158"/>
        <v xml:space="preserve">LOCAL BRIDGES                                                                                       </v>
      </c>
    </row>
    <row r="489" spans="1:16" x14ac:dyDescent="0.25">
      <c r="A489" t="str">
        <f t="shared" si="145"/>
        <v>10</v>
      </c>
      <c r="B489" t="str">
        <f>CLEAN("21")</f>
        <v>21</v>
      </c>
      <c r="C489" s="1">
        <v>45636</v>
      </c>
      <c r="D489" t="str">
        <f>CLEAN("3814-00-70")</f>
        <v>3814-00-70</v>
      </c>
      <c r="E489" t="str">
        <f t="shared" si="155"/>
        <v xml:space="preserve">205  </v>
      </c>
      <c r="F489" t="str">
        <f>CLEAN("$250,000 - $499,999      ")</f>
        <v xml:space="preserve">$250,000 - $499,999      </v>
      </c>
      <c r="G489" t="str">
        <f t="shared" si="156"/>
        <v>LET</v>
      </c>
      <c r="H489" t="str">
        <f t="shared" si="157"/>
        <v xml:space="preserve">LET CONSTRUCTION         </v>
      </c>
      <c r="I489" t="str">
        <f>CLEAN("CONST/BRIDGE REPLACEMENT           ")</f>
        <v xml:space="preserve">CONST/BRIDGE REPLACEMENT           </v>
      </c>
      <c r="J489" t="str">
        <f>CLEAN("LOC STR")</f>
        <v>LOC STR</v>
      </c>
      <c r="K489" t="str">
        <f>CLEAN("DODGE                         ")</f>
        <v xml:space="preserve">DODGE                         </v>
      </c>
      <c r="L489" t="str">
        <f>CLEAN("T OF HUSTISFORD, ST. HELENA ROAD   ")</f>
        <v xml:space="preserve">T OF HUSTISFORD, ST. HELENA ROAD   </v>
      </c>
      <c r="M489" t="str">
        <f>CLEAN("DEAD CREEK BRIDGE, B-14-0228       ")</f>
        <v xml:space="preserve">DEAD CREEK BRIDGE, B-14-0228       </v>
      </c>
      <c r="N489">
        <v>0</v>
      </c>
      <c r="O489" t="str">
        <f>CLEAN("          ")</f>
        <v xml:space="preserve">          </v>
      </c>
      <c r="P489" t="str">
        <f t="shared" si="158"/>
        <v xml:space="preserve">LOCAL BRIDGES                                                                                       </v>
      </c>
    </row>
    <row r="490" spans="1:16" x14ac:dyDescent="0.25">
      <c r="A490" t="str">
        <f t="shared" si="145"/>
        <v>10</v>
      </c>
      <c r="B490" t="str">
        <f>CLEAN("23")</f>
        <v>23</v>
      </c>
      <c r="C490" s="1">
        <v>45636</v>
      </c>
      <c r="D490" t="str">
        <f>CLEAN("3822-02-71")</f>
        <v>3822-02-71</v>
      </c>
      <c r="E490" t="str">
        <f t="shared" si="155"/>
        <v xml:space="preserve">205  </v>
      </c>
      <c r="F490" t="str">
        <f>CLEAN("$750,000 - $999,999      ")</f>
        <v xml:space="preserve">$750,000 - $999,999      </v>
      </c>
      <c r="G490" t="str">
        <f t="shared" si="156"/>
        <v>LET</v>
      </c>
      <c r="H490" t="str">
        <f t="shared" si="157"/>
        <v xml:space="preserve">LET CONSTRUCTION         </v>
      </c>
      <c r="I490" t="str">
        <f>CLEAN("CONST OPS/BRRPL/P20-0086           ")</f>
        <v xml:space="preserve">CONST OPS/BRRPL/P20-0086           </v>
      </c>
      <c r="J490" t="str">
        <f>CLEAN("LOC STR")</f>
        <v>LOC STR</v>
      </c>
      <c r="K490" t="str">
        <f>CLEAN("FOND DU LAC                   ")</f>
        <v xml:space="preserve">FOND DU LAC                   </v>
      </c>
      <c r="L490" t="str">
        <f>CLEAN("T LAMARTINE, TOWNLINE ROAD         ")</f>
        <v xml:space="preserve">T LAMARTINE, TOWNLINE ROAD         </v>
      </c>
      <c r="M490" t="str">
        <f>CLEAN("W BRANCH FOND DU LAC RIVER BRIDGE  ")</f>
        <v xml:space="preserve">W BRANCH FOND DU LAC RIVER BRIDGE  </v>
      </c>
      <c r="N490">
        <v>5.7000000000000002E-2</v>
      </c>
      <c r="O490" t="str">
        <f>CLEAN("          ")</f>
        <v xml:space="preserve">          </v>
      </c>
      <c r="P490" t="str">
        <f t="shared" si="158"/>
        <v xml:space="preserve">LOCAL BRIDGES                                                                                       </v>
      </c>
    </row>
    <row r="491" spans="1:16" x14ac:dyDescent="0.25">
      <c r="A491" t="str">
        <f t="shared" si="145"/>
        <v>10</v>
      </c>
      <c r="B491" t="str">
        <f t="shared" ref="B491:B502" si="159">CLEAN("22")</f>
        <v>22</v>
      </c>
      <c r="C491" s="1">
        <v>45407</v>
      </c>
      <c r="D491" t="str">
        <f>CLEAN("3826-00-72")</f>
        <v>3826-00-72</v>
      </c>
      <c r="E491" t="str">
        <f>CLEAN("206  ")</f>
        <v xml:space="preserve">206  </v>
      </c>
      <c r="F491" t="str">
        <f>CLEAN("$0 - $99,999             ")</f>
        <v xml:space="preserve">$0 - $99,999             </v>
      </c>
      <c r="G491" t="str">
        <f>CLEAN("LLC")</f>
        <v>LLC</v>
      </c>
      <c r="H491" t="str">
        <f>CLEAN("NONLET CONSTR/REAL ESTATE")</f>
        <v>NONLET CONSTR/REAL ESTATE</v>
      </c>
      <c r="I491" t="str">
        <f>CLEAN("CONST/SPEED SIGNS                  ")</f>
        <v xml:space="preserve">CONST/SPEED SIGNS                  </v>
      </c>
      <c r="J491" t="str">
        <f>CLEAN("CTH KD ")</f>
        <v xml:space="preserve">CTH KD </v>
      </c>
      <c r="K491" t="str">
        <f>CLEAN("KENOSHA                       ")</f>
        <v xml:space="preserve">KENOSHA                       </v>
      </c>
      <c r="L491" t="str">
        <f>CLEAN("T WHEATLAND, 352ND/348TH AVE       ")</f>
        <v xml:space="preserve">T WHEATLAND, 352ND/348TH AVE       </v>
      </c>
      <c r="M491" t="str">
        <f>CLEAN("S OF 54TH ST AND N OF 348TH AVE    ")</f>
        <v xml:space="preserve">S OF 54TH ST AND N OF 348TH AVE    </v>
      </c>
      <c r="N491">
        <v>0</v>
      </c>
      <c r="O491" t="str">
        <f>CLEAN("          ")</f>
        <v xml:space="preserve">          </v>
      </c>
      <c r="P491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492" spans="1:16" x14ac:dyDescent="0.25">
      <c r="A492" t="str">
        <f t="shared" si="145"/>
        <v>10</v>
      </c>
      <c r="B492" t="str">
        <f t="shared" si="159"/>
        <v>22</v>
      </c>
      <c r="C492" s="1">
        <v>45316</v>
      </c>
      <c r="D492" t="str">
        <f>CLEAN("3830-03-50")</f>
        <v>3830-03-50</v>
      </c>
      <c r="E492" t="str">
        <f>CLEAN("209  ")</f>
        <v xml:space="preserve">209  </v>
      </c>
      <c r="F492" t="str">
        <f>CLEAN("$1,000,000 - $1,999,999  ")</f>
        <v xml:space="preserve">$1,000,000 - $1,999,999  </v>
      </c>
      <c r="G492" t="str">
        <f>CLEAN("ATR")</f>
        <v>ATR</v>
      </c>
      <c r="H492" t="str">
        <f>CLEAN("NONLET CONSTR/REAL ESTATE")</f>
        <v>NONLET CONSTR/REAL ESTATE</v>
      </c>
      <c r="I492" t="str">
        <f>CLEAN("RR/SPUR CONSTRUCTION               ")</f>
        <v xml:space="preserve">RR/SPUR CONSTRUCTION               </v>
      </c>
      <c r="J492" t="str">
        <f>CLEAN("NON HWY")</f>
        <v>NON HWY</v>
      </c>
      <c r="K492" t="str">
        <f>CLEAN("KENOSHA                       ")</f>
        <v xml:space="preserve">KENOSHA                       </v>
      </c>
      <c r="L492" t="str">
        <f>CLEAN("UP RAIL SPUR/BALCAN                ")</f>
        <v xml:space="preserve">UP RAIL SPUR/BALCAN                </v>
      </c>
      <c r="M492" t="str">
        <f>CLEAN("72ND AND 108TH ST                  ")</f>
        <v xml:space="preserve">72ND AND 108TH ST                  </v>
      </c>
      <c r="N492">
        <v>3.9E-2</v>
      </c>
      <c r="O492" t="str">
        <f>CLEAN("          ")</f>
        <v xml:space="preserve">          </v>
      </c>
      <c r="P492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493" spans="1:16" x14ac:dyDescent="0.25">
      <c r="A493" t="str">
        <f t="shared" si="145"/>
        <v>10</v>
      </c>
      <c r="B493" t="str">
        <f t="shared" si="159"/>
        <v>22</v>
      </c>
      <c r="C493" s="1">
        <v>45560</v>
      </c>
      <c r="D493" t="str">
        <f>CLEAN("3830-05-70")</f>
        <v>3830-05-70</v>
      </c>
      <c r="E493" t="str">
        <f>CLEAN("290  ")</f>
        <v xml:space="preserve">290  </v>
      </c>
      <c r="F493" t="str">
        <f>CLEAN("$750,000 - $999,999      ")</f>
        <v xml:space="preserve">$750,000 - $999,999      </v>
      </c>
      <c r="G493" t="str">
        <f>CLEAN("LLC")</f>
        <v>LLC</v>
      </c>
      <c r="H493" t="str">
        <f>CLEAN("NONLET CONSTR/REAL ESTATE")</f>
        <v>NONLET CONSTR/REAL ESTATE</v>
      </c>
      <c r="I493" t="str">
        <f>CLEAN("CONST/TRAIL                        ")</f>
        <v xml:space="preserve">CONST/TRAIL                        </v>
      </c>
      <c r="J493" t="str">
        <f>CLEAN("NON HWY")</f>
        <v>NON HWY</v>
      </c>
      <c r="K493" t="str">
        <f>CLEAN("KENOSHA                       ")</f>
        <v xml:space="preserve">KENOSHA                       </v>
      </c>
      <c r="L493" t="str">
        <f>CLEAN("95TH STREET SHARED USE PATH        ")</f>
        <v xml:space="preserve">95TH STREET SHARED USE PATH        </v>
      </c>
      <c r="M493" t="str">
        <f>CLEAN("TERWALL TERRACE TO OLD GREEN BAY RD")</f>
        <v>TERWALL TERRACE TO OLD GREEN BAY RD</v>
      </c>
      <c r="N493">
        <v>0</v>
      </c>
      <c r="O493" t="str">
        <f>CLEAN("          ")</f>
        <v xml:space="preserve">          </v>
      </c>
      <c r="P493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494" spans="1:16" x14ac:dyDescent="0.25">
      <c r="A494" t="str">
        <f t="shared" si="145"/>
        <v>10</v>
      </c>
      <c r="B494" t="str">
        <f t="shared" si="159"/>
        <v>22</v>
      </c>
      <c r="C494" s="1">
        <v>45608</v>
      </c>
      <c r="D494" t="str">
        <f>CLEAN("3831-07-71")</f>
        <v>3831-07-71</v>
      </c>
      <c r="E494" t="str">
        <f>CLEAN("206  ")</f>
        <v xml:space="preserve">206  </v>
      </c>
      <c r="F494" t="str">
        <f>CLEAN("$2,000,000 - $2,999,999  ")</f>
        <v xml:space="preserve">$2,000,000 - $2,999,999  </v>
      </c>
      <c r="G494" t="str">
        <f>CLEAN("LET")</f>
        <v>LET</v>
      </c>
      <c r="H494" t="str">
        <f>CLEAN("LET CONSTRUCTION         ")</f>
        <v xml:space="preserve">LET CONSTRUCTION         </v>
      </c>
      <c r="I494" t="str">
        <f>CLEAN("CONST/HSIP                         ")</f>
        <v xml:space="preserve">CONST/HSIP                         </v>
      </c>
      <c r="J494" t="str">
        <f>CLEAN("LOC STR")</f>
        <v>LOC STR</v>
      </c>
      <c r="K494" t="str">
        <f>CLEAN("KENOSHA                       ")</f>
        <v xml:space="preserve">KENOSHA                       </v>
      </c>
      <c r="L494" t="str">
        <f>CLEAN("C KENOSHA WASHINGTON ROAD          ")</f>
        <v xml:space="preserve">C KENOSHA WASHINGTON ROAD          </v>
      </c>
      <c r="M494" t="str">
        <f>CLEAN("INTERSECTION WITH 30TH AVE         ")</f>
        <v xml:space="preserve">INTERSECTION WITH 30TH AVE         </v>
      </c>
      <c r="N494">
        <v>6.0000000000000001E-3</v>
      </c>
      <c r="O494" t="str">
        <f>CLEAN("3831-07-81")</f>
        <v>3831-07-81</v>
      </c>
      <c r="P49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95" spans="1:16" x14ac:dyDescent="0.25">
      <c r="A495" t="str">
        <f t="shared" si="145"/>
        <v>10</v>
      </c>
      <c r="B495" t="str">
        <f t="shared" si="159"/>
        <v>22</v>
      </c>
      <c r="C495" s="1">
        <v>45608</v>
      </c>
      <c r="D495" t="str">
        <f>CLEAN("3831-07-81")</f>
        <v>3831-07-81</v>
      </c>
      <c r="E495" t="str">
        <f>CLEAN("206  ")</f>
        <v xml:space="preserve">206  </v>
      </c>
      <c r="F495" t="str">
        <f>CLEAN("$250,000 - $499,999      ")</f>
        <v xml:space="preserve">$250,000 - $499,999      </v>
      </c>
      <c r="G495" t="str">
        <f>CLEAN("LET")</f>
        <v>LET</v>
      </c>
      <c r="H495" t="str">
        <f>CLEAN("LET CONSTRUCTION         ")</f>
        <v xml:space="preserve">LET CONSTRUCTION         </v>
      </c>
      <c r="I495" t="str">
        <f>CLEAN("CONST/WATERMAIN                    ")</f>
        <v xml:space="preserve">CONST/WATERMAIN                    </v>
      </c>
      <c r="J495" t="str">
        <f>CLEAN("LOC STR")</f>
        <v>LOC STR</v>
      </c>
      <c r="K495" t="str">
        <f>CLEAN("KENOSHA                       ")</f>
        <v xml:space="preserve">KENOSHA                       </v>
      </c>
      <c r="L495" t="str">
        <f>CLEAN("WASHINGTON ROAD                    ")</f>
        <v xml:space="preserve">WASHINGTON ROAD                    </v>
      </c>
      <c r="M495" t="str">
        <f>CLEAN("INTERSECTION WITH 30TH AVE         ")</f>
        <v xml:space="preserve">INTERSECTION WITH 30TH AVE         </v>
      </c>
      <c r="N495">
        <v>6.0000000000000001E-3</v>
      </c>
      <c r="O495" t="str">
        <f>CLEAN("3831-07-71")</f>
        <v>3831-07-71</v>
      </c>
      <c r="P49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96" spans="1:16" x14ac:dyDescent="0.25">
      <c r="A496" t="str">
        <f t="shared" si="145"/>
        <v>10</v>
      </c>
      <c r="B496" t="str">
        <f t="shared" si="159"/>
        <v>22</v>
      </c>
      <c r="C496" s="1">
        <v>45608</v>
      </c>
      <c r="D496" t="str">
        <f>CLEAN("3834-05-72")</f>
        <v>3834-05-72</v>
      </c>
      <c r="E496" t="str">
        <f>CLEAN("205  ")</f>
        <v xml:space="preserve">205  </v>
      </c>
      <c r="F496" t="str">
        <f>CLEAN("$500,000 - $749,999      ")</f>
        <v xml:space="preserve">$500,000 - $749,999      </v>
      </c>
      <c r="G496" t="str">
        <f>CLEAN("LET")</f>
        <v>LET</v>
      </c>
      <c r="H496" t="str">
        <f>CLEAN("LET CONSTRUCTION         ")</f>
        <v xml:space="preserve">LET CONSTRUCTION         </v>
      </c>
      <c r="I496" t="str">
        <f>CLEAN("CONST/BRIDGE REPLACEMENT           ")</f>
        <v xml:space="preserve">CONST/BRIDGE REPLACEMENT           </v>
      </c>
      <c r="J496" t="str">
        <f>CLEAN("LOC STR")</f>
        <v>LOC STR</v>
      </c>
      <c r="K496" t="str">
        <f>CLEAN("RACINE                        ")</f>
        <v xml:space="preserve">RACINE                        </v>
      </c>
      <c r="L496" t="str">
        <f>CLEAN("T BURLINGTON, SPRING PRAIRIE RD    ")</f>
        <v xml:space="preserve">T BURLINGTON, SPRING PRAIRIE RD    </v>
      </c>
      <c r="M496" t="str">
        <f>CLEAN("HONEY CREEK BRIDGE P51-0052        ")</f>
        <v xml:space="preserve">HONEY CREEK BRIDGE P51-0052        </v>
      </c>
      <c r="N496">
        <v>3.0000000000000001E-3</v>
      </c>
      <c r="O496" t="str">
        <f t="shared" ref="O496:O502" si="160">CLEAN("          ")</f>
        <v xml:space="preserve">          </v>
      </c>
      <c r="P49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97" spans="1:16" x14ac:dyDescent="0.25">
      <c r="A497" t="str">
        <f t="shared" si="145"/>
        <v>10</v>
      </c>
      <c r="B497" t="str">
        <f t="shared" si="159"/>
        <v>22</v>
      </c>
      <c r="C497" s="1">
        <v>45545</v>
      </c>
      <c r="D497" t="str">
        <f>CLEAN("3840-00-71")</f>
        <v>3840-00-71</v>
      </c>
      <c r="E497" t="str">
        <f>CLEAN("206  ")</f>
        <v xml:space="preserve">206  </v>
      </c>
      <c r="F497" t="str">
        <f>CLEAN("$750,000 - $999,999      ")</f>
        <v xml:space="preserve">$750,000 - $999,999      </v>
      </c>
      <c r="G497" t="str">
        <f>CLEAN("LET")</f>
        <v>LET</v>
      </c>
      <c r="H497" t="str">
        <f>CLEAN("LET CONSTRUCTION         ")</f>
        <v xml:space="preserve">LET CONSTRUCTION         </v>
      </c>
      <c r="I497" t="str">
        <f>CLEAN("CONST/RCND20                       ")</f>
        <v xml:space="preserve">CONST/RCND20                       </v>
      </c>
      <c r="J497" t="str">
        <f>CLEAN("LOC STR")</f>
        <v>LOC STR</v>
      </c>
      <c r="K497" t="str">
        <f t="shared" ref="K497:K502" si="161">CLEAN("WALWORTH                      ")</f>
        <v xml:space="preserve">WALWORTH                      </v>
      </c>
      <c r="L497" t="str">
        <f>CLEAN("T SUGAR CREEK, PLANTATION RD       ")</f>
        <v xml:space="preserve">T SUGAR CREEK, PLANTATION RD       </v>
      </c>
      <c r="M497" t="str">
        <f>CLEAN("LOST NATION RD-STRAWBERRY HILL RD  ")</f>
        <v xml:space="preserve">LOST NATION RD-STRAWBERRY HILL RD  </v>
      </c>
      <c r="N497">
        <v>1.0780000000000001</v>
      </c>
      <c r="O497" t="str">
        <f t="shared" si="160"/>
        <v xml:space="preserve">          </v>
      </c>
      <c r="P497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498" spans="1:16" x14ac:dyDescent="0.25">
      <c r="A498" t="str">
        <f t="shared" si="145"/>
        <v>10</v>
      </c>
      <c r="B498" t="str">
        <f t="shared" si="159"/>
        <v>22</v>
      </c>
      <c r="C498" s="1">
        <v>45498</v>
      </c>
      <c r="D498" t="str">
        <f>CLEAN("3841-05-26")</f>
        <v>3841-05-26</v>
      </c>
      <c r="E498" t="str">
        <f>CLEAN("303  ")</f>
        <v xml:space="preserve">303  </v>
      </c>
      <c r="F498" t="str">
        <f>CLEAN("$0 - $99,999             ")</f>
        <v xml:space="preserve">$0 - $99,999             </v>
      </c>
      <c r="G498" t="str">
        <f>CLEAN("R/E")</f>
        <v>R/E</v>
      </c>
      <c r="H498" t="str">
        <f>CLEAN("NONLET CONSTR/REAL ESTATE")</f>
        <v>NONLET CONSTR/REAL ESTATE</v>
      </c>
      <c r="I498" t="str">
        <f>CLEAN("RE/RECST                           ")</f>
        <v xml:space="preserve">RE/RECST                           </v>
      </c>
      <c r="J498" t="str">
        <f>CLEAN("STH 011")</f>
        <v>STH 011</v>
      </c>
      <c r="K498" t="str">
        <f t="shared" si="161"/>
        <v xml:space="preserve">WALWORTH                      </v>
      </c>
      <c r="L498" t="str">
        <f>CLEAN("DELAVAN-ELKHORN                    ")</f>
        <v xml:space="preserve">DELAVAN-ELKHORN                    </v>
      </c>
      <c r="M498" t="str">
        <f>CLEAN("INTERSECTION WITH CTH F            ")</f>
        <v xml:space="preserve">INTERSECTION WITH CTH F            </v>
      </c>
      <c r="N498">
        <v>7.0000000000000001E-3</v>
      </c>
      <c r="O498" t="str">
        <f t="shared" si="160"/>
        <v xml:space="preserve">          </v>
      </c>
      <c r="P4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99" spans="1:16" x14ac:dyDescent="0.25">
      <c r="A499" t="str">
        <f t="shared" si="145"/>
        <v>10</v>
      </c>
      <c r="B499" t="str">
        <f t="shared" si="159"/>
        <v>22</v>
      </c>
      <c r="C499" s="1">
        <v>45468</v>
      </c>
      <c r="D499" t="str">
        <f>CLEAN("3841-05-71")</f>
        <v>3841-05-71</v>
      </c>
      <c r="E499" t="str">
        <f>CLEAN("206  ")</f>
        <v xml:space="preserve">206  </v>
      </c>
      <c r="F499" t="str">
        <f>CLEAN("$0 - $99,999             ")</f>
        <v xml:space="preserve">$0 - $99,999             </v>
      </c>
      <c r="G499" t="str">
        <f>CLEAN("MIS")</f>
        <v>MIS</v>
      </c>
      <c r="H499" t="str">
        <f>CLEAN("NONLET CONSTR/REAL ESTATE")</f>
        <v>NONLET CONSTR/REAL ESTATE</v>
      </c>
      <c r="I499" t="str">
        <f>CLEAN("CONST/PROCUREMENT                  ")</f>
        <v xml:space="preserve">CONST/PROCUREMENT                  </v>
      </c>
      <c r="J499" t="str">
        <f>CLEAN("VAR HWY")</f>
        <v>VAR HWY</v>
      </c>
      <c r="K499" t="str">
        <f t="shared" si="161"/>
        <v xml:space="preserve">WALWORTH                      </v>
      </c>
      <c r="L499" t="str">
        <f>CLEAN("C DELAVAN, LIGHTING REPLACEMENT    ")</f>
        <v xml:space="preserve">C DELAVAN, LIGHTING REPLACEMENT    </v>
      </c>
      <c r="M499" t="str">
        <f>CLEAN("CITYWIDE PER APPLICATION           ")</f>
        <v xml:space="preserve">CITYWIDE PER APPLICATION           </v>
      </c>
      <c r="N499">
        <v>0</v>
      </c>
      <c r="O499" t="str">
        <f t="shared" si="160"/>
        <v xml:space="preserve">          </v>
      </c>
      <c r="P499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500" spans="1:16" x14ac:dyDescent="0.25">
      <c r="A500" t="str">
        <f t="shared" si="145"/>
        <v>10</v>
      </c>
      <c r="B500" t="str">
        <f t="shared" si="159"/>
        <v>22</v>
      </c>
      <c r="C500" s="1">
        <v>45590</v>
      </c>
      <c r="D500" t="str">
        <f>CLEAN("3841-06-22")</f>
        <v>3841-06-22</v>
      </c>
      <c r="E500" t="str">
        <f>CLEAN("303  ")</f>
        <v xml:space="preserve">303  </v>
      </c>
      <c r="F500" t="str">
        <f>CLEAN("$0 - $99,999             ")</f>
        <v xml:space="preserve">$0 - $99,999             </v>
      </c>
      <c r="G500" t="str">
        <f>CLEAN("R/E")</f>
        <v>R/E</v>
      </c>
      <c r="H500" t="str">
        <f>CLEAN("NONLET CONSTR/REAL ESTATE")</f>
        <v>NONLET CONSTR/REAL ESTATE</v>
      </c>
      <c r="I500" t="str">
        <f>CLEAN("RE/PVRPLA                          ")</f>
        <v xml:space="preserve">RE/PVRPLA                          </v>
      </c>
      <c r="J500" t="str">
        <f>CLEAN("STH 011")</f>
        <v>STH 011</v>
      </c>
      <c r="K500" t="str">
        <f t="shared" si="161"/>
        <v xml:space="preserve">WALWORTH                      </v>
      </c>
      <c r="L500" t="str">
        <f>CLEAN("C DELAVAN, RACINE ST               ")</f>
        <v xml:space="preserve">C DELAVAN, RACINE ST               </v>
      </c>
      <c r="M500" t="str">
        <f>CLEAN("WRIGHT ST TO MOUND RD              ")</f>
        <v xml:space="preserve">WRIGHT ST TO MOUND RD              </v>
      </c>
      <c r="N500">
        <v>1.03</v>
      </c>
      <c r="O500" t="str">
        <f t="shared" si="160"/>
        <v xml:space="preserve">          </v>
      </c>
      <c r="P5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01" spans="1:16" x14ac:dyDescent="0.25">
      <c r="A501" t="str">
        <f t="shared" si="145"/>
        <v>10</v>
      </c>
      <c r="B501" t="str">
        <f t="shared" si="159"/>
        <v>22</v>
      </c>
      <c r="C501" s="1">
        <v>45608</v>
      </c>
      <c r="D501" t="str">
        <f>CLEAN("3842-00-70")</f>
        <v>3842-00-70</v>
      </c>
      <c r="E501" t="str">
        <f>CLEAN("206  ")</f>
        <v xml:space="preserve">206  </v>
      </c>
      <c r="F501" t="str">
        <f>CLEAN("$500,000 - $749,999      ")</f>
        <v xml:space="preserve">$500,000 - $749,999      </v>
      </c>
      <c r="G501" t="str">
        <f>CLEAN("LET")</f>
        <v>LET</v>
      </c>
      <c r="H501" t="str">
        <f>CLEAN("LET CONSTRUCTION         ")</f>
        <v xml:space="preserve">LET CONSTRUCTION         </v>
      </c>
      <c r="I501" t="str">
        <f>CLEAN("CONST/PVRPLA                       ")</f>
        <v xml:space="preserve">CONST/PVRPLA                       </v>
      </c>
      <c r="J501" t="str">
        <f>CLEAN("LOC STR")</f>
        <v>LOC STR</v>
      </c>
      <c r="K501" t="str">
        <f t="shared" si="161"/>
        <v xml:space="preserve">WALWORTH                      </v>
      </c>
      <c r="L501" t="str">
        <f>CLEAN("V WALWORTH, WISCONSIN STREET       ")</f>
        <v xml:space="preserve">V WALWORTH, WISCONSIN STREET       </v>
      </c>
      <c r="M501" t="str">
        <f>CLEAN("N MAIN ST TO VILLAGE LIMITS        ")</f>
        <v xml:space="preserve">N MAIN ST TO VILLAGE LIMITS        </v>
      </c>
      <c r="N501">
        <v>0.23</v>
      </c>
      <c r="O501" t="str">
        <f t="shared" si="160"/>
        <v xml:space="preserve">          </v>
      </c>
      <c r="P50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02" spans="1:16" x14ac:dyDescent="0.25">
      <c r="A502" t="str">
        <f t="shared" si="145"/>
        <v>10</v>
      </c>
      <c r="B502" t="str">
        <f t="shared" si="159"/>
        <v>22</v>
      </c>
      <c r="C502" s="1">
        <v>45426</v>
      </c>
      <c r="D502" t="str">
        <f>CLEAN("3846-00-75")</f>
        <v>3846-00-75</v>
      </c>
      <c r="E502" t="str">
        <f>CLEAN("205  ")</f>
        <v xml:space="preserve">205  </v>
      </c>
      <c r="F502" t="str">
        <f>CLEAN("$100,000-$249,999        ")</f>
        <v xml:space="preserve">$100,000-$249,999        </v>
      </c>
      <c r="G502" t="str">
        <f>CLEAN("LET")</f>
        <v>LET</v>
      </c>
      <c r="H502" t="str">
        <f>CLEAN("LET CONSTRUCTION         ")</f>
        <v xml:space="preserve">LET CONSTRUCTION         </v>
      </c>
      <c r="I502" t="str">
        <f>CLEAN("CONST/BRRPL                        ")</f>
        <v xml:space="preserve">CONST/BRRPL                        </v>
      </c>
      <c r="J502" t="str">
        <f>CLEAN("LOC STR")</f>
        <v>LOC STR</v>
      </c>
      <c r="K502" t="str">
        <f t="shared" si="161"/>
        <v xml:space="preserve">WALWORTH                      </v>
      </c>
      <c r="L502" t="str">
        <f>CLEAN("T LINN - LACKEY LANE               ")</f>
        <v xml:space="preserve">T LINN - LACKEY LANE               </v>
      </c>
      <c r="M502" t="str">
        <f>CLEAN("OVER LAKE GENEVA TRIBUTARY P64-906 ")</f>
        <v xml:space="preserve">OVER LAKE GENEVA TRIBUTARY P64-906 </v>
      </c>
      <c r="N502">
        <v>0</v>
      </c>
      <c r="O502" t="str">
        <f t="shared" si="160"/>
        <v xml:space="preserve">          </v>
      </c>
      <c r="P50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03" spans="1:16" x14ac:dyDescent="0.25">
      <c r="A503" t="str">
        <f t="shared" si="145"/>
        <v>10</v>
      </c>
      <c r="B503" t="str">
        <f t="shared" ref="B503:B513" si="162">CLEAN("21")</f>
        <v>21</v>
      </c>
      <c r="C503" s="1">
        <v>45300</v>
      </c>
      <c r="D503" t="str">
        <f>CLEAN("3926-00-70")</f>
        <v>3926-00-70</v>
      </c>
      <c r="E503" t="str">
        <f>CLEAN("205  ")</f>
        <v xml:space="preserve">205  </v>
      </c>
      <c r="F503" t="str">
        <f>CLEAN("$500,000 - $749,999      ")</f>
        <v xml:space="preserve">$500,000 - $749,999      </v>
      </c>
      <c r="G503" t="str">
        <f>CLEAN("LET")</f>
        <v>LET</v>
      </c>
      <c r="H503" t="str">
        <f>CLEAN("LET CONSTRUCTION         ")</f>
        <v xml:space="preserve">LET CONSTRUCTION         </v>
      </c>
      <c r="I503" t="str">
        <f>CLEAN("CONST/BRIDGE REPLACEMENT           ")</f>
        <v xml:space="preserve">CONST/BRIDGE REPLACEMENT           </v>
      </c>
      <c r="J503" t="str">
        <f>CLEAN("CTH NP ")</f>
        <v xml:space="preserve">CTH NP </v>
      </c>
      <c r="K503" t="str">
        <f>CLEAN("DODGE                         ")</f>
        <v xml:space="preserve">DODGE                         </v>
      </c>
      <c r="L503" t="str">
        <f>CLEAN("CTH P - CTH V                      ")</f>
        <v xml:space="preserve">CTH P - CTH V                      </v>
      </c>
      <c r="M503" t="str">
        <f>CLEAN("BUTLER CREEK BRIDGE, B-14-0229     ")</f>
        <v xml:space="preserve">BUTLER CREEK BRIDGE, B-14-0229     </v>
      </c>
      <c r="N503">
        <v>1.7000000000000001E-2</v>
      </c>
      <c r="O503" t="str">
        <f>CLEAN("3813-00-70")</f>
        <v>3813-00-70</v>
      </c>
      <c r="P50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04" spans="1:16" x14ac:dyDescent="0.25">
      <c r="A504" t="str">
        <f t="shared" ref="A504:A567" si="163">CLEAN("10")</f>
        <v>10</v>
      </c>
      <c r="B504" t="str">
        <f t="shared" si="162"/>
        <v>21</v>
      </c>
      <c r="C504" s="1">
        <v>45316</v>
      </c>
      <c r="D504" t="str">
        <f>CLEAN("3991-00-20")</f>
        <v>3991-00-20</v>
      </c>
      <c r="E504" t="str">
        <f>CLEAN("206  ")</f>
        <v xml:space="preserve">206  </v>
      </c>
      <c r="F504" t="str">
        <f>CLEAN("$100,000-$249,999        ")</f>
        <v xml:space="preserve">$100,000-$249,999        </v>
      </c>
      <c r="G504" t="str">
        <f>CLEAN("MIS")</f>
        <v>MIS</v>
      </c>
      <c r="H504" t="str">
        <f>CLEAN("NONLET CONSTR/REAL ESTATE")</f>
        <v>NONLET CONSTR/REAL ESTATE</v>
      </c>
      <c r="I504" t="str">
        <f>CLEAN("CONST/CARBON RED-LED LIGHTING      ")</f>
        <v xml:space="preserve">CONST/CARBON RED-LED LIGHTING      </v>
      </c>
      <c r="J504" t="str">
        <f>CLEAN("STH 089")</f>
        <v>STH 089</v>
      </c>
      <c r="K504" t="str">
        <f>CLEAN("JEFFERSON                     ")</f>
        <v xml:space="preserve">JEFFERSON                     </v>
      </c>
      <c r="L504" t="str">
        <f>CLEAN("C FORT ATKINSON, MAIN STREET       ")</f>
        <v xml:space="preserve">C FORT ATKINSON, MAIN STREET       </v>
      </c>
      <c r="M504" t="str">
        <f>CLEAN("MADISON AVE TO S. 3RD ST.          ")</f>
        <v xml:space="preserve">MADISON AVE TO S. 3RD ST.          </v>
      </c>
      <c r="N504">
        <v>0</v>
      </c>
      <c r="O504" t="str">
        <f t="shared" ref="O504:O510" si="164">CLEAN("          ")</f>
        <v xml:space="preserve">          </v>
      </c>
      <c r="P504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505" spans="1:16" x14ac:dyDescent="0.25">
      <c r="A505" t="str">
        <f t="shared" si="163"/>
        <v>10</v>
      </c>
      <c r="B505" t="str">
        <f t="shared" si="162"/>
        <v>21</v>
      </c>
      <c r="C505" s="1">
        <v>45621</v>
      </c>
      <c r="D505" t="str">
        <f>CLEAN("3991-00-71")</f>
        <v>3991-00-71</v>
      </c>
      <c r="E505" t="str">
        <f>CLEAN("290  ")</f>
        <v xml:space="preserve">290  </v>
      </c>
      <c r="F505" t="str">
        <f>CLEAN("$1,000,000 - $1,999,999  ")</f>
        <v xml:space="preserve">$1,000,000 - $1,999,999  </v>
      </c>
      <c r="G505" t="str">
        <f>CLEAN("LLC")</f>
        <v>LLC</v>
      </c>
      <c r="H505" t="str">
        <f>CLEAN("NONLET CONSTR/REAL ESTATE")</f>
        <v>NONLET CONSTR/REAL ESTATE</v>
      </c>
      <c r="I505" t="str">
        <f>CLEAN("PEDESTRAIN MULTI-USE PATH          ")</f>
        <v xml:space="preserve">PEDESTRAIN MULTI-USE PATH          </v>
      </c>
      <c r="J505" t="str">
        <f>CLEAN("NON HWY")</f>
        <v>NON HWY</v>
      </c>
      <c r="K505" t="str">
        <f>CLEAN("JEFFERSON                     ")</f>
        <v xml:space="preserve">JEFFERSON                     </v>
      </c>
      <c r="L505" t="str">
        <f>CLEAN("C FORT ATKINSON, S MAIN ST PATH    ")</f>
        <v xml:space="preserve">C FORT ATKINSON, S MAIN ST PATH    </v>
      </c>
      <c r="M505" t="str">
        <f>CLEAN("HACKBARTH ROAD TO ROCKWELL AVENUE  ")</f>
        <v xml:space="preserve">HACKBARTH ROAD TO ROCKWELL AVENUE  </v>
      </c>
      <c r="N505">
        <v>0.08</v>
      </c>
      <c r="O505" t="str">
        <f t="shared" si="164"/>
        <v xml:space="preserve">          </v>
      </c>
      <c r="P505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506" spans="1:16" x14ac:dyDescent="0.25">
      <c r="A506" t="str">
        <f t="shared" si="163"/>
        <v>10</v>
      </c>
      <c r="B506" t="str">
        <f t="shared" si="162"/>
        <v>21</v>
      </c>
      <c r="C506" s="1">
        <v>45636</v>
      </c>
      <c r="D506" t="str">
        <f>CLEAN("3991-01-74")</f>
        <v>3991-01-74</v>
      </c>
      <c r="E506" t="str">
        <f>CLEAN("206  ")</f>
        <v xml:space="preserve">206  </v>
      </c>
      <c r="F506" t="str">
        <f>CLEAN("$250,000 - $499,999      ")</f>
        <v xml:space="preserve">$250,000 - $499,999      </v>
      </c>
      <c r="G506" t="str">
        <f>CLEAN("LET")</f>
        <v>LET</v>
      </c>
      <c r="H506" t="str">
        <f>CLEAN("LET CONSTRUCTION         ")</f>
        <v xml:space="preserve">LET CONSTRUCTION         </v>
      </c>
      <c r="I506" t="str">
        <f>CLEAN("CONST OPS/RESURFACE                ")</f>
        <v xml:space="preserve">CONST OPS/RESURFACE                </v>
      </c>
      <c r="J506" t="str">
        <f>CLEAN("LOC STR")</f>
        <v>LOC STR</v>
      </c>
      <c r="K506" t="str">
        <f>CLEAN("JEFFERSON                     ")</f>
        <v xml:space="preserve">JEFFERSON                     </v>
      </c>
      <c r="L506" t="str">
        <f>CLEAN("C FORT ATKINSON, S MAIN STREET     ")</f>
        <v xml:space="preserve">C FORT ATKINSON, S MAIN STREET     </v>
      </c>
      <c r="M506" t="str">
        <f>CLEAN("ROCKWELL ST TO WHITEWATER AVE      ")</f>
        <v xml:space="preserve">ROCKWELL ST TO WHITEWATER AVE      </v>
      </c>
      <c r="N506">
        <v>0.55000000000000004</v>
      </c>
      <c r="O506" t="str">
        <f t="shared" si="164"/>
        <v xml:space="preserve">          </v>
      </c>
      <c r="P506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507" spans="1:16" x14ac:dyDescent="0.25">
      <c r="A507" t="str">
        <f t="shared" si="163"/>
        <v>10</v>
      </c>
      <c r="B507" t="str">
        <f t="shared" si="162"/>
        <v>21</v>
      </c>
      <c r="C507" s="1">
        <v>45636</v>
      </c>
      <c r="D507" t="str">
        <f>CLEAN("3991-01-78")</f>
        <v>3991-01-78</v>
      </c>
      <c r="E507" t="str">
        <f>CLEAN("206  ")</f>
        <v xml:space="preserve">206  </v>
      </c>
      <c r="F507" t="str">
        <f>CLEAN("$100,000-$249,999        ")</f>
        <v xml:space="preserve">$100,000-$249,999        </v>
      </c>
      <c r="G507" t="str">
        <f>CLEAN("LET")</f>
        <v>LET</v>
      </c>
      <c r="H507" t="str">
        <f>CLEAN("LET CONSTRUCTION         ")</f>
        <v xml:space="preserve">LET CONSTRUCTION         </v>
      </c>
      <c r="I507" t="str">
        <f>CLEAN("CONST OPS/RESURFACE                ")</f>
        <v xml:space="preserve">CONST OPS/RESURFACE                </v>
      </c>
      <c r="J507" t="str">
        <f>CLEAN("LOC STR")</f>
        <v>LOC STR</v>
      </c>
      <c r="K507" t="str">
        <f>CLEAN("JEFFERSON                     ")</f>
        <v xml:space="preserve">JEFFERSON                     </v>
      </c>
      <c r="L507" t="str">
        <f>CLEAN("C FORT ATKINSON, COMMONWEALTH DRIVE")</f>
        <v>C FORT ATKINSON, COMMONWEALTH DRIVE</v>
      </c>
      <c r="M507" t="str">
        <f>CLEAN("LEXINGTON BLVD TO MONTCLAIR BLVD   ")</f>
        <v xml:space="preserve">LEXINGTON BLVD TO MONTCLAIR BLVD   </v>
      </c>
      <c r="N507">
        <v>0.28000000000000003</v>
      </c>
      <c r="O507" t="str">
        <f t="shared" si="164"/>
        <v xml:space="preserve">          </v>
      </c>
      <c r="P507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508" spans="1:16" x14ac:dyDescent="0.25">
      <c r="A508" t="str">
        <f t="shared" si="163"/>
        <v>10</v>
      </c>
      <c r="B508" t="str">
        <f t="shared" si="162"/>
        <v>21</v>
      </c>
      <c r="C508" s="1">
        <v>45517</v>
      </c>
      <c r="D508" t="str">
        <f>CLEAN("3996-00-10")</f>
        <v>3996-00-10</v>
      </c>
      <c r="E508" t="str">
        <f>CLEAN("206  ")</f>
        <v xml:space="preserve">206  </v>
      </c>
      <c r="F508" t="str">
        <f>CLEAN("$750,000 - $999,999      ")</f>
        <v xml:space="preserve">$750,000 - $999,999      </v>
      </c>
      <c r="G508" t="str">
        <f>CLEAN("LET")</f>
        <v>LET</v>
      </c>
      <c r="H508" t="str">
        <f>CLEAN("LET CONSTRUCTION         ")</f>
        <v xml:space="preserve">LET CONSTRUCTION         </v>
      </c>
      <c r="I508" t="str">
        <f>CLEAN("CONST/INTERSECTION IMPROVEMENTS    ")</f>
        <v xml:space="preserve">CONST/INTERSECTION IMPROVEMENTS    </v>
      </c>
      <c r="J508" t="str">
        <f>CLEAN("LOC STR")</f>
        <v>LOC STR</v>
      </c>
      <c r="K508" t="str">
        <f>CLEAN("DANE                          ")</f>
        <v xml:space="preserve">DANE                          </v>
      </c>
      <c r="L508" t="str">
        <f>CLEAN("C SUN PRAIRIE, INTERSECTION IMPRVMT")</f>
        <v>C SUN PRAIRIE, INTERSECTION IMPRVMT</v>
      </c>
      <c r="M508" t="str">
        <f>CLEAN("MAIN/WALKER;MAIN/BIRD;BIRD/LINNERUD")</f>
        <v>MAIN/WALKER;MAIN/BIRD;BIRD/LINNERUD</v>
      </c>
      <c r="N508">
        <v>0.31</v>
      </c>
      <c r="O508" t="str">
        <f t="shared" si="164"/>
        <v xml:space="preserve">          </v>
      </c>
      <c r="P50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09" spans="1:16" x14ac:dyDescent="0.25">
      <c r="A509" t="str">
        <f t="shared" si="163"/>
        <v>10</v>
      </c>
      <c r="B509" t="str">
        <f t="shared" si="162"/>
        <v>21</v>
      </c>
      <c r="C509" s="1">
        <v>45407</v>
      </c>
      <c r="D509" t="str">
        <f>CLEAN("3996-00-19")</f>
        <v>3996-00-19</v>
      </c>
      <c r="E509" t="str">
        <f>CLEAN("290  ")</f>
        <v xml:space="preserve">290  </v>
      </c>
      <c r="F509" t="str">
        <f>CLEAN("$250,000 - $499,999      ")</f>
        <v xml:space="preserve">$250,000 - $499,999      </v>
      </c>
      <c r="G509" t="str">
        <f>CLEAN("LLC")</f>
        <v>LLC</v>
      </c>
      <c r="H509" t="str">
        <f>CLEAN("NONLET CONSTR/REAL ESTATE")</f>
        <v>NONLET CONSTR/REAL ESTATE</v>
      </c>
      <c r="I509" t="str">
        <f>CLEAN("PEDESTRIAN/BICYCLE MULIT-USE PATH  ")</f>
        <v xml:space="preserve">PEDESTRIAN/BICYCLE MULIT-USE PATH  </v>
      </c>
      <c r="J509" t="str">
        <f>CLEAN("NON HWY")</f>
        <v>NON HWY</v>
      </c>
      <c r="K509" t="str">
        <f>CLEAN("DANE                          ")</f>
        <v xml:space="preserve">DANE                          </v>
      </c>
      <c r="L509" t="str">
        <f>CLEAN("C SUN PRAIRIE, MULTI-USE PATH      ")</f>
        <v xml:space="preserve">C SUN PRAIRIE, MULTI-USE PATH      </v>
      </c>
      <c r="M509" t="str">
        <f>CLEAN("STONEHAVEN DRIVE TO EGRE ROAD      ")</f>
        <v xml:space="preserve">STONEHAVEN DRIVE TO EGRE ROAD      </v>
      </c>
      <c r="N509">
        <v>0.54700000000000004</v>
      </c>
      <c r="O509" t="str">
        <f t="shared" si="164"/>
        <v xml:space="preserve">          </v>
      </c>
      <c r="P509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10" spans="1:16" x14ac:dyDescent="0.25">
      <c r="A510" t="str">
        <f t="shared" si="163"/>
        <v>10</v>
      </c>
      <c r="B510" t="str">
        <f t="shared" si="162"/>
        <v>21</v>
      </c>
      <c r="C510" s="1">
        <v>45316</v>
      </c>
      <c r="D510" t="str">
        <f>CLEAN("3996-00-20")</f>
        <v>3996-00-20</v>
      </c>
      <c r="E510" t="str">
        <f>CLEAN("206  ")</f>
        <v xml:space="preserve">206  </v>
      </c>
      <c r="F510" t="str">
        <f>CLEAN("$100,000-$249,999        ")</f>
        <v xml:space="preserve">$100,000-$249,999        </v>
      </c>
      <c r="G510" t="str">
        <f>CLEAN("MIS")</f>
        <v>MIS</v>
      </c>
      <c r="H510" t="str">
        <f>CLEAN("NONLET CONSTR/REAL ESTATE")</f>
        <v>NONLET CONSTR/REAL ESTATE</v>
      </c>
      <c r="I510" t="str">
        <f>CLEAN("CONST/CARBON RED-LED LIGHTING      ")</f>
        <v xml:space="preserve">CONST/CARBON RED-LED LIGHTING      </v>
      </c>
      <c r="J510" t="str">
        <f>CLEAN("VAR HWY")</f>
        <v>VAR HWY</v>
      </c>
      <c r="K510" t="str">
        <f>CLEAN("DANE                          ")</f>
        <v xml:space="preserve">DANE                          </v>
      </c>
      <c r="L510" t="str">
        <f>CLEAN("C SUN PRAIRIE, LED STREET LIGHTS   ")</f>
        <v xml:space="preserve">C SUN PRAIRIE, LED STREET LIGHTS   </v>
      </c>
      <c r="M510" t="str">
        <f>CLEAN("VARIOUS LOCATIONS - C SUN PRAIRIE  ")</f>
        <v xml:space="preserve">VARIOUS LOCATIONS - C SUN PRAIRIE  </v>
      </c>
      <c r="N510">
        <v>0</v>
      </c>
      <c r="O510" t="str">
        <f t="shared" si="164"/>
        <v xml:space="preserve">          </v>
      </c>
      <c r="P510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511" spans="1:16" x14ac:dyDescent="0.25">
      <c r="A511" t="str">
        <f t="shared" si="163"/>
        <v>10</v>
      </c>
      <c r="B511" t="str">
        <f t="shared" si="162"/>
        <v>21</v>
      </c>
      <c r="C511" s="1">
        <v>45608</v>
      </c>
      <c r="D511" t="str">
        <f>CLEAN("3997-00-13")</f>
        <v>3997-00-13</v>
      </c>
      <c r="E511" t="str">
        <f>CLEAN("206  ")</f>
        <v xml:space="preserve">206  </v>
      </c>
      <c r="F511" t="str">
        <f>CLEAN("$1,000,000 - $1,999,999  ")</f>
        <v xml:space="preserve">$1,000,000 - $1,999,999  </v>
      </c>
      <c r="G511" t="str">
        <f>CLEAN("LET")</f>
        <v>LET</v>
      </c>
      <c r="H511" t="str">
        <f>CLEAN("LET CONSTRUCTION         ")</f>
        <v xml:space="preserve">LET CONSTRUCTION         </v>
      </c>
      <c r="I511" t="str">
        <f>CLEAN("CONST OPS/RECONSTRUCTION           ")</f>
        <v xml:space="preserve">CONST OPS/RECONSTRUCTION           </v>
      </c>
      <c r="J511" t="str">
        <f>CLEAN("LOC STR")</f>
        <v>LOC STR</v>
      </c>
      <c r="K511" t="str">
        <f>CLEAN("JEFFERSON                     ")</f>
        <v xml:space="preserve">JEFFERSON                     </v>
      </c>
      <c r="L511" t="str">
        <f>CLEAN("C WATERTOWN, WESTERN AVENUE        ")</f>
        <v xml:space="preserve">C WATERTOWN, WESTERN AVENUE        </v>
      </c>
      <c r="M511" t="str">
        <f>CLEAN("MILWAUKEE ST. TO S. THIRD ST.      ")</f>
        <v xml:space="preserve">MILWAUKEE ST. TO S. THIRD ST.      </v>
      </c>
      <c r="N511">
        <v>0.17</v>
      </c>
      <c r="O511" t="str">
        <f>CLEAN("3997-00-14")</f>
        <v>3997-00-14</v>
      </c>
      <c r="P511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512" spans="1:16" x14ac:dyDescent="0.25">
      <c r="A512" t="str">
        <f t="shared" si="163"/>
        <v>10</v>
      </c>
      <c r="B512" t="str">
        <f t="shared" si="162"/>
        <v>21</v>
      </c>
      <c r="C512" s="1">
        <v>45608</v>
      </c>
      <c r="D512" t="str">
        <f>CLEAN("3997-00-14")</f>
        <v>3997-00-14</v>
      </c>
      <c r="E512" t="str">
        <f>CLEAN("206  ")</f>
        <v xml:space="preserve">206  </v>
      </c>
      <c r="F512" t="str">
        <f>CLEAN("$250,000 - $499,999      ")</f>
        <v xml:space="preserve">$250,000 - $499,999      </v>
      </c>
      <c r="G512" t="str">
        <f>CLEAN("LET")</f>
        <v>LET</v>
      </c>
      <c r="H512" t="str">
        <f>CLEAN("LET CONSTRUCTION         ")</f>
        <v xml:space="preserve">LET CONSTRUCTION         </v>
      </c>
      <c r="I512" t="str">
        <f>CLEAN("UTL OPS/WATER MAIN SANITARY SEWER  ")</f>
        <v xml:space="preserve">UTL OPS/WATER MAIN SANITARY SEWER  </v>
      </c>
      <c r="J512" t="str">
        <f>CLEAN("LOC STR")</f>
        <v>LOC STR</v>
      </c>
      <c r="K512" t="str">
        <f>CLEAN("JEFFERSON                     ")</f>
        <v xml:space="preserve">JEFFERSON                     </v>
      </c>
      <c r="L512" t="str">
        <f>CLEAN("C WATERTOWN, WESTERN AVENUE        ")</f>
        <v xml:space="preserve">C WATERTOWN, WESTERN AVENUE        </v>
      </c>
      <c r="M512" t="str">
        <f>CLEAN("MILWAUKEE ST. TO S. THIRD ST.      ")</f>
        <v xml:space="preserve">MILWAUKEE ST. TO S. THIRD ST.      </v>
      </c>
      <c r="N512">
        <v>0</v>
      </c>
      <c r="O512" t="str">
        <f>CLEAN("3997-00-13")</f>
        <v>3997-00-13</v>
      </c>
      <c r="P512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513" spans="1:16" x14ac:dyDescent="0.25">
      <c r="A513" t="str">
        <f t="shared" si="163"/>
        <v>10</v>
      </c>
      <c r="B513" t="str">
        <f t="shared" si="162"/>
        <v>21</v>
      </c>
      <c r="C513" s="1">
        <v>45272</v>
      </c>
      <c r="D513" t="str">
        <f>CLEAN("3997-00-60")</f>
        <v>3997-00-60</v>
      </c>
      <c r="E513" t="str">
        <f>CLEAN("206  ")</f>
        <v xml:space="preserve">206  </v>
      </c>
      <c r="F513" t="str">
        <f>CLEAN("$0 - $99,999             ")</f>
        <v xml:space="preserve">$0 - $99,999             </v>
      </c>
      <c r="G513" t="str">
        <f>CLEAN("LET")</f>
        <v>LET</v>
      </c>
      <c r="H513" t="str">
        <f>CLEAN("LET CONSTRUCTION         ")</f>
        <v xml:space="preserve">LET CONSTRUCTION         </v>
      </c>
      <c r="I513" t="str">
        <f>CLEAN("CONST/GUARDRAIL/MISC               ")</f>
        <v xml:space="preserve">CONST/GUARDRAIL/MISC               </v>
      </c>
      <c r="J513" t="str">
        <f>CLEAN("LOC STR")</f>
        <v>LOC STR</v>
      </c>
      <c r="K513" t="str">
        <f>CLEAN("DODGE                         ")</f>
        <v xml:space="preserve">DODGE                         </v>
      </c>
      <c r="L513" t="str">
        <f>CLEAN("C WATERTOWN, WELSH ROAD            ")</f>
        <v xml:space="preserve">C WATERTOWN, WELSH ROAD            </v>
      </c>
      <c r="M513" t="str">
        <f>CLEAN("STH 26 OVERPASS                    ")</f>
        <v xml:space="preserve">STH 26 OVERPASS                    </v>
      </c>
      <c r="N513">
        <v>7.0000000000000007E-2</v>
      </c>
      <c r="O513" t="str">
        <f>CLEAN("          ")</f>
        <v xml:space="preserve">          </v>
      </c>
      <c r="P51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14" spans="1:16" x14ac:dyDescent="0.25">
      <c r="A514" t="str">
        <f t="shared" si="163"/>
        <v>10</v>
      </c>
      <c r="B514" t="str">
        <f t="shared" ref="B514:B520" si="165">CLEAN("23")</f>
        <v>23</v>
      </c>
      <c r="C514" s="1">
        <v>45316</v>
      </c>
      <c r="D514" t="str">
        <f>CLEAN("4010-21-40")</f>
        <v>4010-21-40</v>
      </c>
      <c r="E514" t="str">
        <f t="shared" ref="E514:E533" si="166">CLEAN("303  ")</f>
        <v xml:space="preserve">303  </v>
      </c>
      <c r="F514" t="str">
        <f>CLEAN("$0 - $99,999             ")</f>
        <v xml:space="preserve">$0 - $99,999             </v>
      </c>
      <c r="G514" t="str">
        <f>CLEAN("UTL")</f>
        <v>UTL</v>
      </c>
      <c r="H514" t="str">
        <f>CLEAN("NONLET CONSTR/REAL ESTATE")</f>
        <v>NONLET CONSTR/REAL ESTATE</v>
      </c>
      <c r="I514" t="str">
        <f>CLEAN("UTL RELOCATION                     ")</f>
        <v xml:space="preserve">UTL RELOCATION                     </v>
      </c>
      <c r="J514" t="str">
        <f t="shared" ref="J514:J519" si="167">CLEAN("STH 028")</f>
        <v>STH 028</v>
      </c>
      <c r="K514" t="str">
        <f t="shared" ref="K514:K520" si="168">CLEAN("SHEBOYGAN                     ")</f>
        <v xml:space="preserve">SHEBOYGAN                     </v>
      </c>
      <c r="L514" t="str">
        <f>CLEAN("KEWASKUM-WALDO                     ")</f>
        <v xml:space="preserve">KEWASKUM-WALDO                     </v>
      </c>
      <c r="M514" t="str">
        <f>CLEAN("SCL-STH 57                         ")</f>
        <v xml:space="preserve">SCL-STH 57                         </v>
      </c>
      <c r="N514">
        <v>13.4</v>
      </c>
      <c r="O514" t="str">
        <f>CLEAN("          ")</f>
        <v xml:space="preserve">          </v>
      </c>
      <c r="P51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15" spans="1:16" x14ac:dyDescent="0.25">
      <c r="A515" t="str">
        <f t="shared" si="163"/>
        <v>10</v>
      </c>
      <c r="B515" t="str">
        <f t="shared" si="165"/>
        <v>23</v>
      </c>
      <c r="C515" s="1">
        <v>45407</v>
      </c>
      <c r="D515" t="str">
        <f>CLEAN("4010-21-50")</f>
        <v>4010-21-50</v>
      </c>
      <c r="E515" t="str">
        <f t="shared" si="166"/>
        <v xml:space="preserve">303  </v>
      </c>
      <c r="F515" t="str">
        <f>CLEAN("$250,000 - $499,999      ")</f>
        <v xml:space="preserve">$250,000 - $499,999      </v>
      </c>
      <c r="G515" t="str">
        <f>CLEAN("R/R")</f>
        <v>R/R</v>
      </c>
      <c r="H515" t="str">
        <f>CLEAN("NONLET CONSTR/REAL ESTATE")</f>
        <v>NONLET CONSTR/REAL ESTATE</v>
      </c>
      <c r="I515" t="str">
        <f>CLEAN("RR XING SIGNALS                    ")</f>
        <v xml:space="preserve">RR XING SIGNALS                    </v>
      </c>
      <c r="J515" t="str">
        <f t="shared" si="167"/>
        <v>STH 028</v>
      </c>
      <c r="K515" t="str">
        <f t="shared" si="168"/>
        <v xml:space="preserve">SHEBOYGAN                     </v>
      </c>
      <c r="L515" t="str">
        <f>CLEAN("KEWASKUM-WALDO                     ")</f>
        <v xml:space="preserve">KEWASKUM-WALDO                     </v>
      </c>
      <c r="M515" t="str">
        <f>CLEAN("WSOR XING SIGNALS 387113B          ")</f>
        <v xml:space="preserve">WSOR XING SIGNALS 387113B          </v>
      </c>
      <c r="N515">
        <v>1.7000000000000001E-2</v>
      </c>
      <c r="O515" t="str">
        <f>CLEAN("          ")</f>
        <v xml:space="preserve">          </v>
      </c>
      <c r="P5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16" spans="1:16" x14ac:dyDescent="0.25">
      <c r="A516" t="str">
        <f t="shared" si="163"/>
        <v>10</v>
      </c>
      <c r="B516" t="str">
        <f t="shared" si="165"/>
        <v>23</v>
      </c>
      <c r="C516" s="1">
        <v>45545</v>
      </c>
      <c r="D516" t="str">
        <f>CLEAN("4010-21-71")</f>
        <v>4010-21-71</v>
      </c>
      <c r="E516" t="str">
        <f t="shared" si="166"/>
        <v xml:space="preserve">303  </v>
      </c>
      <c r="F516" t="str">
        <f>CLEAN("$8,000,000 - $8,999,999  ")</f>
        <v xml:space="preserve">$8,000,000 - $8,999,999  </v>
      </c>
      <c r="G516" t="str">
        <f>CLEAN("LET")</f>
        <v>LET</v>
      </c>
      <c r="H516" t="str">
        <f>CLEAN("LET CONSTRUCTION         ")</f>
        <v xml:space="preserve">LET CONSTRUCTION         </v>
      </c>
      <c r="I516" t="str">
        <f>CLEAN("CONST/RESURF-MILL/OVERLAY          ")</f>
        <v xml:space="preserve">CONST/RESURF-MILL/OVERLAY          </v>
      </c>
      <c r="J516" t="str">
        <f t="shared" si="167"/>
        <v>STH 028</v>
      </c>
      <c r="K516" t="str">
        <f t="shared" si="168"/>
        <v xml:space="preserve">SHEBOYGAN                     </v>
      </c>
      <c r="L516" t="str">
        <f>CLEAN("KEWASKUM-WALDO                     ")</f>
        <v xml:space="preserve">KEWASKUM-WALDO                     </v>
      </c>
      <c r="M516" t="str">
        <f>CLEAN("SCL-STH 57                         ")</f>
        <v xml:space="preserve">SCL-STH 57                         </v>
      </c>
      <c r="N516">
        <v>13.4</v>
      </c>
      <c r="O516" t="str">
        <f>CLEAN("4010-26-71")</f>
        <v>4010-26-71</v>
      </c>
      <c r="P51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17" spans="1:16" x14ac:dyDescent="0.25">
      <c r="A517" t="str">
        <f t="shared" si="163"/>
        <v>10</v>
      </c>
      <c r="B517" t="str">
        <f t="shared" si="165"/>
        <v>23</v>
      </c>
      <c r="C517" s="1">
        <v>45545</v>
      </c>
      <c r="D517" t="str">
        <f>CLEAN("4010-21-71")</f>
        <v>4010-21-71</v>
      </c>
      <c r="E517" t="str">
        <f t="shared" si="166"/>
        <v xml:space="preserve">303  </v>
      </c>
      <c r="F517" t="str">
        <f>CLEAN("$8,000,000 - $8,999,999  ")</f>
        <v xml:space="preserve">$8,000,000 - $8,999,999  </v>
      </c>
      <c r="G517" t="str">
        <f>CLEAN("LET")</f>
        <v>LET</v>
      </c>
      <c r="H517" t="str">
        <f>CLEAN("LET CONSTRUCTION         ")</f>
        <v xml:space="preserve">LET CONSTRUCTION         </v>
      </c>
      <c r="I517" t="str">
        <f>CLEAN("CONST/RESURF-MILL/OVERLAY          ")</f>
        <v xml:space="preserve">CONST/RESURF-MILL/OVERLAY          </v>
      </c>
      <c r="J517" t="str">
        <f t="shared" si="167"/>
        <v>STH 028</v>
      </c>
      <c r="K517" t="str">
        <f t="shared" si="168"/>
        <v xml:space="preserve">SHEBOYGAN                     </v>
      </c>
      <c r="L517" t="str">
        <f>CLEAN("KEWASKUM-WALDO                     ")</f>
        <v xml:space="preserve">KEWASKUM-WALDO                     </v>
      </c>
      <c r="M517" t="str">
        <f>CLEAN("SCL-STH 57                         ")</f>
        <v xml:space="preserve">SCL-STH 57                         </v>
      </c>
      <c r="N517">
        <v>13.4</v>
      </c>
      <c r="O517" t="str">
        <f>CLEAN("4010-26-71")</f>
        <v>4010-26-71</v>
      </c>
      <c r="P5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18" spans="1:16" x14ac:dyDescent="0.25">
      <c r="A518" t="str">
        <f t="shared" si="163"/>
        <v>10</v>
      </c>
      <c r="B518" t="str">
        <f t="shared" si="165"/>
        <v>23</v>
      </c>
      <c r="C518" s="1">
        <v>45316</v>
      </c>
      <c r="D518" t="str">
        <f>CLEAN("4010-26-40")</f>
        <v>4010-26-40</v>
      </c>
      <c r="E518" t="str">
        <f t="shared" si="166"/>
        <v xml:space="preserve">303  </v>
      </c>
      <c r="F518" t="str">
        <f>CLEAN("$0 - $99,999             ")</f>
        <v xml:space="preserve">$0 - $99,999             </v>
      </c>
      <c r="G518" t="str">
        <f>CLEAN("UTL")</f>
        <v>UTL</v>
      </c>
      <c r="H518" t="str">
        <f>CLEAN("NONLET CONSTR/REAL ESTATE")</f>
        <v>NONLET CONSTR/REAL ESTATE</v>
      </c>
      <c r="I518" t="str">
        <f>CLEAN("EX- UTL RELOCATION PLACEHOLDER     ")</f>
        <v xml:space="preserve">EX- UTL RELOCATION PLACEHOLDER     </v>
      </c>
      <c r="J518" t="str">
        <f t="shared" si="167"/>
        <v>STH 028</v>
      </c>
      <c r="K518" t="str">
        <f t="shared" si="168"/>
        <v xml:space="preserve">SHEBOYGAN                     </v>
      </c>
      <c r="L518" t="str">
        <f>CLEAN("V. OF CASCADE, N. BRANCH MILK RIVER")</f>
        <v>V. OF CASCADE, N. BRANCH MILK RIVER</v>
      </c>
      <c r="M518" t="str">
        <f>CLEAN("BRANCH MILWAUKEE RIVER BRIDGE      ")</f>
        <v xml:space="preserve">BRANCH MILWAUKEE RIVER BRIDGE      </v>
      </c>
      <c r="N518">
        <v>8.8999999999999996E-2</v>
      </c>
      <c r="O518" t="str">
        <f>CLEAN("          ")</f>
        <v xml:space="preserve">          </v>
      </c>
      <c r="P51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19" spans="1:16" x14ac:dyDescent="0.25">
      <c r="A519" t="str">
        <f t="shared" si="163"/>
        <v>10</v>
      </c>
      <c r="B519" t="str">
        <f t="shared" si="165"/>
        <v>23</v>
      </c>
      <c r="C519" s="1">
        <v>45545</v>
      </c>
      <c r="D519" t="str">
        <f>CLEAN("4010-26-71")</f>
        <v>4010-26-71</v>
      </c>
      <c r="E519" t="str">
        <f t="shared" si="166"/>
        <v xml:space="preserve">303  </v>
      </c>
      <c r="F519" t="str">
        <f>CLEAN("$1,000,000 - $1,999,999  ")</f>
        <v xml:space="preserve">$1,000,000 - $1,999,999  </v>
      </c>
      <c r="G519" t="str">
        <f>CLEAN("LET")</f>
        <v>LET</v>
      </c>
      <c r="H519" t="str">
        <f>CLEAN("LET CONSTRUCTION         ")</f>
        <v xml:space="preserve">LET CONSTRUCTION         </v>
      </c>
      <c r="I519" t="str">
        <f>CLEAN("CONST/BRRPL B-05-0321              ")</f>
        <v xml:space="preserve">CONST/BRRPL B-05-0321              </v>
      </c>
      <c r="J519" t="str">
        <f t="shared" si="167"/>
        <v>STH 028</v>
      </c>
      <c r="K519" t="str">
        <f t="shared" si="168"/>
        <v xml:space="preserve">SHEBOYGAN                     </v>
      </c>
      <c r="L519" t="str">
        <f>CLEAN("V. OF CASCADE, N. BRANCH MIL RIVER ")</f>
        <v xml:space="preserve">V. OF CASCADE, N. BRANCH MIL RIVER </v>
      </c>
      <c r="M519" t="str">
        <f>CLEAN("BRANCH MILWAUKEE RIVER BRIDGE      ")</f>
        <v xml:space="preserve">BRANCH MILWAUKEE RIVER BRIDGE      </v>
      </c>
      <c r="N519">
        <v>8.5999999999999993E-2</v>
      </c>
      <c r="O519" t="str">
        <f>CLEAN("4010-21-71")</f>
        <v>4010-21-71</v>
      </c>
      <c r="P51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20" spans="1:16" x14ac:dyDescent="0.25">
      <c r="A520" t="str">
        <f t="shared" si="163"/>
        <v>10</v>
      </c>
      <c r="B520" t="str">
        <f t="shared" si="165"/>
        <v>23</v>
      </c>
      <c r="C520" s="1">
        <v>45468</v>
      </c>
      <c r="D520" t="str">
        <f>CLEAN("4015-22-22")</f>
        <v>4015-22-22</v>
      </c>
      <c r="E520" t="str">
        <f t="shared" si="166"/>
        <v xml:space="preserve">303  </v>
      </c>
      <c r="F520" t="str">
        <f t="shared" ref="F520:F526" si="169">CLEAN("$0 - $99,999             ")</f>
        <v xml:space="preserve">$0 - $99,999             </v>
      </c>
      <c r="G520" t="str">
        <f>CLEAN("R/E")</f>
        <v>R/E</v>
      </c>
      <c r="H520" t="str">
        <f t="shared" ref="H520:H526" si="170">CLEAN("NONLET CONSTR/REAL ESTATE")</f>
        <v>NONLET CONSTR/REAL ESTATE</v>
      </c>
      <c r="I520" t="str">
        <f>CLEAN("RE OPS/RW RSRF                     ")</f>
        <v xml:space="preserve">RE OPS/RW RSRF                     </v>
      </c>
      <c r="J520" t="str">
        <f>CLEAN("STH 057")</f>
        <v>STH 057</v>
      </c>
      <c r="K520" t="str">
        <f t="shared" si="168"/>
        <v xml:space="preserve">SHEBOYGAN                     </v>
      </c>
      <c r="L520" t="str">
        <f>CLEAN("WALDO - KIEL                       ")</f>
        <v xml:space="preserve">WALDO - KIEL                       </v>
      </c>
      <c r="M520" t="str">
        <f>CLEAN("STH 28 - NCL                       ")</f>
        <v xml:space="preserve">STH 28 - NCL                       </v>
      </c>
      <c r="N520">
        <v>16.05</v>
      </c>
      <c r="O520" t="str">
        <f t="shared" ref="O520:O550" si="171">CLEAN("          ")</f>
        <v xml:space="preserve">          </v>
      </c>
      <c r="P5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1" spans="1:16" x14ac:dyDescent="0.25">
      <c r="A521" t="str">
        <f t="shared" si="163"/>
        <v>10</v>
      </c>
      <c r="B521" t="str">
        <f>CLEAN("22")</f>
        <v>22</v>
      </c>
      <c r="C521" s="1">
        <v>45407</v>
      </c>
      <c r="D521" t="str">
        <f>CLEAN("4030-03-20")</f>
        <v>4030-03-20</v>
      </c>
      <c r="E521" t="str">
        <f t="shared" si="166"/>
        <v xml:space="preserve">303  </v>
      </c>
      <c r="F521" t="str">
        <f t="shared" si="169"/>
        <v xml:space="preserve">$0 - $99,999             </v>
      </c>
      <c r="G521" t="str">
        <f>CLEAN("R/E")</f>
        <v>R/E</v>
      </c>
      <c r="H521" t="str">
        <f t="shared" si="170"/>
        <v>NONLET CONSTR/REAL ESTATE</v>
      </c>
      <c r="I521" t="str">
        <f>CLEAN("RE/RSRF15                          ")</f>
        <v xml:space="preserve">RE/RSRF15                          </v>
      </c>
      <c r="J521" t="str">
        <f>CLEAN("STH 033")</f>
        <v>STH 033</v>
      </c>
      <c r="K521" t="str">
        <f>CLEAN("OZAUKEE                       ")</f>
        <v xml:space="preserve">OZAUKEE                       </v>
      </c>
      <c r="L521" t="str">
        <f>CLEAN("WEST BEND - PORT WASHINGTON        ")</f>
        <v xml:space="preserve">WEST BEND - PORT WASHINGTON        </v>
      </c>
      <c r="M521" t="str">
        <f>CLEAN("MILWAUKEE RIVER TO MARTIN DR       ")</f>
        <v xml:space="preserve">MILWAUKEE RIVER TO MARTIN DR       </v>
      </c>
      <c r="N521">
        <v>1.89</v>
      </c>
      <c r="O521" t="str">
        <f t="shared" si="171"/>
        <v xml:space="preserve">          </v>
      </c>
      <c r="P52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2" spans="1:16" x14ac:dyDescent="0.25">
      <c r="A522" t="str">
        <f t="shared" si="163"/>
        <v>10</v>
      </c>
      <c r="B522" t="str">
        <f>CLEAN("22")</f>
        <v>22</v>
      </c>
      <c r="C522" s="1">
        <v>45407</v>
      </c>
      <c r="D522" t="str">
        <f>CLEAN("4030-03-21")</f>
        <v>4030-03-21</v>
      </c>
      <c r="E522" t="str">
        <f t="shared" si="166"/>
        <v xml:space="preserve">303  </v>
      </c>
      <c r="F522" t="str">
        <f t="shared" si="169"/>
        <v xml:space="preserve">$0 - $99,999             </v>
      </c>
      <c r="G522" t="str">
        <f>CLEAN("R/E")</f>
        <v>R/E</v>
      </c>
      <c r="H522" t="str">
        <f t="shared" si="170"/>
        <v>NONLET CONSTR/REAL ESTATE</v>
      </c>
      <c r="I522" t="str">
        <f>CLEAN("RE/RSRF15                          ")</f>
        <v xml:space="preserve">RE/RSRF15                          </v>
      </c>
      <c r="J522" t="str">
        <f>CLEAN("STH 033")</f>
        <v>STH 033</v>
      </c>
      <c r="K522" t="str">
        <f>CLEAN("OZAUKEE                       ")</f>
        <v xml:space="preserve">OZAUKEE                       </v>
      </c>
      <c r="L522" t="str">
        <f>CLEAN("WEST BEND - PORT WASHINGTON        ")</f>
        <v xml:space="preserve">WEST BEND - PORT WASHINGTON        </v>
      </c>
      <c r="M522" t="str">
        <f>CLEAN("MARTIN DR TO SUMMIT DR             ")</f>
        <v xml:space="preserve">MARTIN DR TO SUMMIT DR             </v>
      </c>
      <c r="N522">
        <v>0.57599999999999996</v>
      </c>
      <c r="O522" t="str">
        <f t="shared" si="171"/>
        <v xml:space="preserve">          </v>
      </c>
      <c r="P5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3" spans="1:16" x14ac:dyDescent="0.25">
      <c r="A523" t="str">
        <f t="shared" si="163"/>
        <v>10</v>
      </c>
      <c r="B523" t="str">
        <f>CLEAN("23")</f>
        <v>23</v>
      </c>
      <c r="C523" s="1">
        <v>45285</v>
      </c>
      <c r="D523" t="str">
        <f>CLEAN("4050-27-40")</f>
        <v>4050-27-40</v>
      </c>
      <c r="E523" t="str">
        <f t="shared" si="166"/>
        <v xml:space="preserve">303  </v>
      </c>
      <c r="F523" t="str">
        <f t="shared" si="169"/>
        <v xml:space="preserve">$0 - $99,999             </v>
      </c>
      <c r="G523" t="str">
        <f>CLEAN("UTL")</f>
        <v>UTL</v>
      </c>
      <c r="H523" t="str">
        <f t="shared" si="170"/>
        <v>NONLET CONSTR/REAL ESTATE</v>
      </c>
      <c r="I523" t="str">
        <f>CLEAN("UTL RELOCATION OPS/BRRPL           ")</f>
        <v xml:space="preserve">UTL RELOCATION OPS/BRRPL           </v>
      </c>
      <c r="J523" t="str">
        <f>CLEAN("STH 055")</f>
        <v>STH 055</v>
      </c>
      <c r="K523" t="str">
        <f>CLEAN("CALUMET                       ")</f>
        <v xml:space="preserve">CALUMET                       </v>
      </c>
      <c r="L523" t="str">
        <f>CLEAN("FOND DU LAC - SHERWOOD             ")</f>
        <v xml:space="preserve">FOND DU LAC - SHERWOOD             </v>
      </c>
      <c r="M523" t="str">
        <f>CLEAN("USH 151 - STH 114                  ")</f>
        <v xml:space="preserve">USH 151 - STH 114                  </v>
      </c>
      <c r="N523">
        <v>11.44</v>
      </c>
      <c r="O523" t="str">
        <f t="shared" si="171"/>
        <v xml:space="preserve">          </v>
      </c>
      <c r="P523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24" spans="1:16" x14ac:dyDescent="0.25">
      <c r="A524" t="str">
        <f t="shared" si="163"/>
        <v>10</v>
      </c>
      <c r="B524" t="str">
        <f>CLEAN("23")</f>
        <v>23</v>
      </c>
      <c r="C524" s="1">
        <v>45285</v>
      </c>
      <c r="D524" t="str">
        <f>CLEAN("4050-28-40")</f>
        <v>4050-28-40</v>
      </c>
      <c r="E524" t="str">
        <f t="shared" si="166"/>
        <v xml:space="preserve">303  </v>
      </c>
      <c r="F524" t="str">
        <f t="shared" si="169"/>
        <v xml:space="preserve">$0 - $99,999             </v>
      </c>
      <c r="G524" t="str">
        <f>CLEAN("UTL")</f>
        <v>UTL</v>
      </c>
      <c r="H524" t="str">
        <f t="shared" si="170"/>
        <v>NONLET CONSTR/REAL ESTATE</v>
      </c>
      <c r="I524" t="str">
        <f>CLEAN("UTL RELOCATION                     ")</f>
        <v xml:space="preserve">UTL RELOCATION                     </v>
      </c>
      <c r="J524" t="str">
        <f>CLEAN("USH 151")</f>
        <v>USH 151</v>
      </c>
      <c r="K524" t="str">
        <f>CLEAN("CALUMET                       ")</f>
        <v xml:space="preserve">CALUMET                       </v>
      </c>
      <c r="L524" t="str">
        <f>CLEAN("FOND DU LAC - STOCKBRIDGE          ")</f>
        <v xml:space="preserve">FOND DU LAC - STOCKBRIDGE          </v>
      </c>
      <c r="M524" t="str">
        <f>CLEAN("SCL - STH 55                       ")</f>
        <v xml:space="preserve">SCL - STH 55                       </v>
      </c>
      <c r="N524">
        <v>3.7999999999999999E-2</v>
      </c>
      <c r="O524" t="str">
        <f t="shared" si="171"/>
        <v xml:space="preserve">          </v>
      </c>
      <c r="P524" t="str">
        <f t="shared" ref="P524:P529" si="17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5" spans="1:16" x14ac:dyDescent="0.25">
      <c r="A525" t="str">
        <f t="shared" si="163"/>
        <v>10</v>
      </c>
      <c r="B525" t="str">
        <f>CLEAN("22")</f>
        <v>22</v>
      </c>
      <c r="C525" s="1">
        <v>45407</v>
      </c>
      <c r="D525" t="str">
        <f>CLEAN("4060-07-20")</f>
        <v>4060-07-20</v>
      </c>
      <c r="E525" t="str">
        <f t="shared" si="166"/>
        <v xml:space="preserve">303  </v>
      </c>
      <c r="F525" t="str">
        <f t="shared" si="169"/>
        <v xml:space="preserve">$0 - $99,999             </v>
      </c>
      <c r="G525" t="str">
        <f>CLEAN("R/E")</f>
        <v>R/E</v>
      </c>
      <c r="H525" t="str">
        <f t="shared" si="170"/>
        <v>NONLET CONSTR/REAL ESTATE</v>
      </c>
      <c r="I525" t="str">
        <f>CLEAN("RE/RSRF15                          ")</f>
        <v xml:space="preserve">RE/RSRF15                          </v>
      </c>
      <c r="J525" t="str">
        <f>CLEAN("STH 028")</f>
        <v>STH 028</v>
      </c>
      <c r="K525" t="str">
        <f>CLEAN("WASHINGTON                    ")</f>
        <v xml:space="preserve">WASHINGTON                    </v>
      </c>
      <c r="L525" t="str">
        <f>CLEAN("KEWASKUM - FARMINGTON              ")</f>
        <v xml:space="preserve">KEWASKUM - FARMINGTON              </v>
      </c>
      <c r="M525" t="str">
        <f>CLEAN("USH 45 TO STH 144                  ")</f>
        <v xml:space="preserve">USH 45 TO STH 144                  </v>
      </c>
      <c r="N525">
        <v>5.78</v>
      </c>
      <c r="O525" t="str">
        <f t="shared" si="171"/>
        <v xml:space="preserve">          </v>
      </c>
      <c r="P525" t="str">
        <f t="shared" si="172"/>
        <v xml:space="preserve">STATE 3R                                                                                            </v>
      </c>
    </row>
    <row r="526" spans="1:16" x14ac:dyDescent="0.25">
      <c r="A526" t="str">
        <f t="shared" si="163"/>
        <v>10</v>
      </c>
      <c r="B526" t="str">
        <f t="shared" ref="B526:B557" si="173">CLEAN("23")</f>
        <v>23</v>
      </c>
      <c r="C526" s="1">
        <v>45407</v>
      </c>
      <c r="D526" t="str">
        <f>CLEAN("4075-40-40")</f>
        <v>4075-40-40</v>
      </c>
      <c r="E526" t="str">
        <f t="shared" si="166"/>
        <v xml:space="preserve">303  </v>
      </c>
      <c r="F526" t="str">
        <f t="shared" si="169"/>
        <v xml:space="preserve">$0 - $99,999             </v>
      </c>
      <c r="G526" t="str">
        <f>CLEAN("UTL")</f>
        <v>UTL</v>
      </c>
      <c r="H526" t="str">
        <f t="shared" si="170"/>
        <v>NONLET CONSTR/REAL ESTATE</v>
      </c>
      <c r="I526" t="str">
        <f>CLEAN("UTL RELOCATION/RSRF                ")</f>
        <v xml:space="preserve">UTL RELOCATION/RSRF                </v>
      </c>
      <c r="J526" t="str">
        <f>CLEAN("STH 096")</f>
        <v>STH 096</v>
      </c>
      <c r="K526" t="str">
        <f>CLEAN("OUTAGAMIE                     ")</f>
        <v xml:space="preserve">OUTAGAMIE                     </v>
      </c>
      <c r="L526" t="str">
        <f>CLEAN("W WISCONSIN AVE, T OF GRAND CHUTE  ")</f>
        <v xml:space="preserve">W WISCONSIN AVE, T OF GRAND CHUTE  </v>
      </c>
      <c r="M526" t="str">
        <f>CLEAN("CASALOMA DRIVE - N BADGER AVENUE   ")</f>
        <v xml:space="preserve">CASALOMA DRIVE - N BADGER AVENUE   </v>
      </c>
      <c r="N526">
        <v>2</v>
      </c>
      <c r="O526" t="str">
        <f t="shared" si="171"/>
        <v xml:space="preserve">          </v>
      </c>
      <c r="P526" t="str">
        <f t="shared" si="172"/>
        <v xml:space="preserve">STATE 3R                                                                                            </v>
      </c>
    </row>
    <row r="527" spans="1:16" x14ac:dyDescent="0.25">
      <c r="A527" t="str">
        <f t="shared" si="163"/>
        <v>10</v>
      </c>
      <c r="B527" t="str">
        <f t="shared" si="173"/>
        <v>23</v>
      </c>
      <c r="C527" s="1">
        <v>45426</v>
      </c>
      <c r="D527" t="str">
        <f>CLEAN("4075-41-71")</f>
        <v>4075-41-71</v>
      </c>
      <c r="E527" t="str">
        <f t="shared" si="166"/>
        <v xml:space="preserve">303  </v>
      </c>
      <c r="F527" t="str">
        <f>CLEAN("$1,000,000 - $1,999,999  ")</f>
        <v xml:space="preserve">$1,000,000 - $1,999,999  </v>
      </c>
      <c r="G527" t="str">
        <f>CLEAN("LET")</f>
        <v>LET</v>
      </c>
      <c r="H527" t="str">
        <f>CLEAN("LET CONSTRUCTION         ")</f>
        <v xml:space="preserve">LET CONSTRUCTION         </v>
      </c>
      <c r="I527" t="str">
        <f>CLEAN("CONST/RSRF                         ")</f>
        <v xml:space="preserve">CONST/RSRF                         </v>
      </c>
      <c r="J527" t="str">
        <f>CLEAN("STH 096")</f>
        <v>STH 096</v>
      </c>
      <c r="K527" t="str">
        <f>CLEAN("OUTAGAMIE                     ")</f>
        <v xml:space="preserve">OUTAGAMIE                     </v>
      </c>
      <c r="L527" t="str">
        <f>CLEAN("WCL - APPLETON                     ")</f>
        <v xml:space="preserve">WCL - APPLETON                     </v>
      </c>
      <c r="M527" t="str">
        <f>CLEAN("CLEARY COURT - TOWER VIEW DRIVE    ")</f>
        <v xml:space="preserve">CLEARY COURT - TOWER VIEW DRIVE    </v>
      </c>
      <c r="N527">
        <v>3.03</v>
      </c>
      <c r="O527" t="str">
        <f t="shared" si="171"/>
        <v xml:space="preserve">          </v>
      </c>
      <c r="P527" t="str">
        <f t="shared" si="172"/>
        <v xml:space="preserve">STATE 3R                                                                                            </v>
      </c>
    </row>
    <row r="528" spans="1:16" x14ac:dyDescent="0.25">
      <c r="A528" t="str">
        <f t="shared" si="163"/>
        <v>10</v>
      </c>
      <c r="B528" t="str">
        <f t="shared" si="173"/>
        <v>23</v>
      </c>
      <c r="C528" s="1">
        <v>45498</v>
      </c>
      <c r="D528" t="str">
        <f>CLEAN("4085-66-21")</f>
        <v>4085-66-21</v>
      </c>
      <c r="E528" t="str">
        <f t="shared" si="166"/>
        <v xml:space="preserve">303  </v>
      </c>
      <c r="F528" t="str">
        <f>CLEAN("$0 - $99,999             ")</f>
        <v xml:space="preserve">$0 - $99,999             </v>
      </c>
      <c r="G528" t="str">
        <f>CLEAN("R/E")</f>
        <v>R/E</v>
      </c>
      <c r="H528" t="str">
        <f>CLEAN("NONLET CONSTR/REAL ESTATE")</f>
        <v>NONLET CONSTR/REAL ESTATE</v>
      </c>
      <c r="I528" t="str">
        <f>CLEAN("RE/RW OPS                          ")</f>
        <v xml:space="preserve">RE/RW OPS                          </v>
      </c>
      <c r="J528" t="str">
        <f>CLEAN("STH 032")</f>
        <v>STH 032</v>
      </c>
      <c r="K528" t="str">
        <f>CLEAN("CALUMET                       ")</f>
        <v xml:space="preserve">CALUMET                       </v>
      </c>
      <c r="L528" t="str">
        <f>CLEAN("CHILTON - HILBERT                  ")</f>
        <v xml:space="preserve">CHILTON - HILBERT                  </v>
      </c>
      <c r="M528" t="str">
        <f>CLEAN("BREED ST - STH 114                 ")</f>
        <v xml:space="preserve">BREED ST - STH 114                 </v>
      </c>
      <c r="N528">
        <v>7.12</v>
      </c>
      <c r="O528" t="str">
        <f t="shared" si="171"/>
        <v xml:space="preserve">          </v>
      </c>
      <c r="P528" t="str">
        <f t="shared" si="172"/>
        <v xml:space="preserve">STATE 3R                                                                                            </v>
      </c>
    </row>
    <row r="529" spans="1:16" x14ac:dyDescent="0.25">
      <c r="A529" t="str">
        <f t="shared" si="163"/>
        <v>10</v>
      </c>
      <c r="B529" t="str">
        <f t="shared" si="173"/>
        <v>23</v>
      </c>
      <c r="C529" s="1">
        <v>45285</v>
      </c>
      <c r="D529" t="str">
        <f>CLEAN("4085-68-40")</f>
        <v>4085-68-40</v>
      </c>
      <c r="E529" t="str">
        <f t="shared" si="166"/>
        <v xml:space="preserve">303  </v>
      </c>
      <c r="F529" t="str">
        <f>CLEAN("$0 - $99,999             ")</f>
        <v xml:space="preserve">$0 - $99,999             </v>
      </c>
      <c r="G529" t="str">
        <f>CLEAN("UTL")</f>
        <v>UTL</v>
      </c>
      <c r="H529" t="str">
        <f>CLEAN("NONLET CONSTR/REAL ESTATE")</f>
        <v>NONLET CONSTR/REAL ESTATE</v>
      </c>
      <c r="I529" t="str">
        <f>CLEAN("COMP/ UTL                          ")</f>
        <v xml:space="preserve">COMP/ UTL                          </v>
      </c>
      <c r="J529" t="str">
        <f>CLEAN("STH 057")</f>
        <v>STH 057</v>
      </c>
      <c r="K529" t="str">
        <f>CLEAN("BROWN                         ")</f>
        <v xml:space="preserve">BROWN                         </v>
      </c>
      <c r="L529" t="str">
        <f>CLEAN("C. OF DE PERE-V. OF ALLOUEZ        ")</f>
        <v xml:space="preserve">C. OF DE PERE-V. OF ALLOUEZ        </v>
      </c>
      <c r="M529" t="str">
        <f>CLEAN("RANDALL AVE-GRIGNON ST             ")</f>
        <v xml:space="preserve">RANDALL AVE-GRIGNON ST             </v>
      </c>
      <c r="N529">
        <v>3.4390000000000001</v>
      </c>
      <c r="O529" t="str">
        <f t="shared" si="171"/>
        <v xml:space="preserve">          </v>
      </c>
      <c r="P529" t="str">
        <f t="shared" si="172"/>
        <v xml:space="preserve">STATE 3R                                                                                            </v>
      </c>
    </row>
    <row r="530" spans="1:16" x14ac:dyDescent="0.25">
      <c r="A530" t="str">
        <f t="shared" si="163"/>
        <v>10</v>
      </c>
      <c r="B530" t="str">
        <f t="shared" si="173"/>
        <v>23</v>
      </c>
      <c r="C530" s="1">
        <v>45391</v>
      </c>
      <c r="D530" t="str">
        <f>CLEAN("4110-28-71")</f>
        <v>4110-28-71</v>
      </c>
      <c r="E530" t="str">
        <f t="shared" si="166"/>
        <v xml:space="preserve">303  </v>
      </c>
      <c r="F530" t="str">
        <f>CLEAN("$4,000,000 - $4,999,999  ")</f>
        <v xml:space="preserve">$4,000,000 - $4,999,999  </v>
      </c>
      <c r="G530" t="str">
        <f>CLEAN("LET")</f>
        <v>LET</v>
      </c>
      <c r="H530" t="str">
        <f>CLEAN("LET CONSTRUCTION         ")</f>
        <v xml:space="preserve">LET CONSTRUCTION         </v>
      </c>
      <c r="I530" t="str">
        <f>CLEAN("CONST OPS/RSRF30                   ")</f>
        <v xml:space="preserve">CONST OPS/RSRF30                   </v>
      </c>
      <c r="J530" t="str">
        <f>CLEAN("USH 045")</f>
        <v>USH 045</v>
      </c>
      <c r="K530" t="str">
        <f>CLEAN("FOND DU LAC                   ")</f>
        <v xml:space="preserve">FOND DU LAC                   </v>
      </c>
      <c r="L530" t="str">
        <f>CLEAN("FOND DU LAC-OSHKOSH                ")</f>
        <v xml:space="preserve">FOND DU LAC-OSHKOSH                </v>
      </c>
      <c r="M530" t="str">
        <f>CLEAN("SCOTT STREET-NCL                   ")</f>
        <v xml:space="preserve">SCOTT STREET-NCL                   </v>
      </c>
      <c r="N530">
        <v>7.4279999999999999</v>
      </c>
      <c r="O530" t="str">
        <f t="shared" si="171"/>
        <v xml:space="preserve">          </v>
      </c>
      <c r="P53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31" spans="1:16" x14ac:dyDescent="0.25">
      <c r="A531" t="str">
        <f t="shared" si="163"/>
        <v>10</v>
      </c>
      <c r="B531" t="str">
        <f t="shared" si="173"/>
        <v>23</v>
      </c>
      <c r="C531" s="1">
        <v>45391</v>
      </c>
      <c r="D531" t="str">
        <f>CLEAN("4110-28-71")</f>
        <v>4110-28-71</v>
      </c>
      <c r="E531" t="str">
        <f t="shared" si="166"/>
        <v xml:space="preserve">303  </v>
      </c>
      <c r="F531" t="str">
        <f>CLEAN("$4,000,000 - $4,999,999  ")</f>
        <v xml:space="preserve">$4,000,000 - $4,999,999  </v>
      </c>
      <c r="G531" t="str">
        <f>CLEAN("LET")</f>
        <v>LET</v>
      </c>
      <c r="H531" t="str">
        <f>CLEAN("LET CONSTRUCTION         ")</f>
        <v xml:space="preserve">LET CONSTRUCTION         </v>
      </c>
      <c r="I531" t="str">
        <f>CLEAN("CONST OPS/RSRF30                   ")</f>
        <v xml:space="preserve">CONST OPS/RSRF30                   </v>
      </c>
      <c r="J531" t="str">
        <f>CLEAN("USH 045")</f>
        <v>USH 045</v>
      </c>
      <c r="K531" t="str">
        <f>CLEAN("FOND DU LAC                   ")</f>
        <v xml:space="preserve">FOND DU LAC                   </v>
      </c>
      <c r="L531" t="str">
        <f>CLEAN("FOND DU LAC-OSHKOSH                ")</f>
        <v xml:space="preserve">FOND DU LAC-OSHKOSH                </v>
      </c>
      <c r="M531" t="str">
        <f>CLEAN("SCOTT STREET-NCL                   ")</f>
        <v xml:space="preserve">SCOTT STREET-NCL                   </v>
      </c>
      <c r="N531">
        <v>7.4279999999999999</v>
      </c>
      <c r="O531" t="str">
        <f t="shared" si="171"/>
        <v xml:space="preserve">          </v>
      </c>
      <c r="P5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2" spans="1:16" x14ac:dyDescent="0.25">
      <c r="A532" t="str">
        <f t="shared" si="163"/>
        <v>10</v>
      </c>
      <c r="B532" t="str">
        <f t="shared" si="173"/>
        <v>23</v>
      </c>
      <c r="C532" s="1">
        <v>45391</v>
      </c>
      <c r="D532" t="str">
        <f>CLEAN("4110-28-72")</f>
        <v>4110-28-72</v>
      </c>
      <c r="E532" t="str">
        <f t="shared" si="166"/>
        <v xml:space="preserve">303  </v>
      </c>
      <c r="F532" t="str">
        <f>CLEAN("$0 - $99,999             ")</f>
        <v xml:space="preserve">$0 - $99,999             </v>
      </c>
      <c r="G532" t="str">
        <f>CLEAN("LET")</f>
        <v>LET</v>
      </c>
      <c r="H532" t="str">
        <f>CLEAN("LET CONSTRUCTION         ")</f>
        <v xml:space="preserve">LET CONSTRUCTION         </v>
      </c>
      <c r="I532" t="str">
        <f>CLEAN("EX- DRAINAGE CORRECTION PLACEHOLDER")</f>
        <v>EX- DRAINAGE CORRECTION PLACEHOLDER</v>
      </c>
      <c r="J532" t="str">
        <f>CLEAN("USH 045")</f>
        <v>USH 045</v>
      </c>
      <c r="K532" t="str">
        <f>CLEAN("FOND DU LAC                   ")</f>
        <v xml:space="preserve">FOND DU LAC                   </v>
      </c>
      <c r="L532" t="str">
        <f>CLEAN("FOND DU LAC-OSHKOSH                ")</f>
        <v xml:space="preserve">FOND DU LAC-OSHKOSH                </v>
      </c>
      <c r="M532" t="str">
        <f>CLEAN("SCOTT STREET-NCL                   ")</f>
        <v xml:space="preserve">SCOTT STREET-NCL                   </v>
      </c>
      <c r="N532">
        <v>7.35</v>
      </c>
      <c r="O532" t="str">
        <f t="shared" si="171"/>
        <v xml:space="preserve">          </v>
      </c>
      <c r="P53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3" spans="1:16" x14ac:dyDescent="0.25">
      <c r="A533" t="str">
        <f t="shared" si="163"/>
        <v>10</v>
      </c>
      <c r="B533" t="str">
        <f t="shared" si="173"/>
        <v>23</v>
      </c>
      <c r="C533" s="1">
        <v>45316</v>
      </c>
      <c r="D533" t="str">
        <f>CLEAN("4110-32-40")</f>
        <v>4110-32-40</v>
      </c>
      <c r="E533" t="str">
        <f t="shared" si="166"/>
        <v xml:space="preserve">303  </v>
      </c>
      <c r="F533" t="str">
        <f>CLEAN("$0 - $99,999             ")</f>
        <v xml:space="preserve">$0 - $99,999             </v>
      </c>
      <c r="G533" t="str">
        <f>CLEAN("UTL")</f>
        <v>UTL</v>
      </c>
      <c r="H533" t="str">
        <f>CLEAN("NONLET CONSTR/REAL ESTATE")</f>
        <v>NONLET CONSTR/REAL ESTATE</v>
      </c>
      <c r="I533" t="str">
        <f>CLEAN("EX- UTL RELOCATION PLACEHOLDER     ")</f>
        <v xml:space="preserve">EX- UTL RELOCATION PLACEHOLDER     </v>
      </c>
      <c r="J533" t="str">
        <f>CLEAN("USH 045")</f>
        <v>USH 045</v>
      </c>
      <c r="K533" t="str">
        <f>CLEAN("WINNEBAGO                     ")</f>
        <v xml:space="preserve">WINNEBAGO                     </v>
      </c>
      <c r="L533" t="str">
        <f>CLEAN("FOND DU LAC-OSHKOSH                ")</f>
        <v xml:space="preserve">FOND DU LAC-OSHKOSH                </v>
      </c>
      <c r="M533" t="str">
        <f>CLEAN("SCL-SCPL OSHKOSH                   ")</f>
        <v xml:space="preserve">SCL-SCPL OSHKOSH                   </v>
      </c>
      <c r="N533">
        <v>7.13</v>
      </c>
      <c r="O533" t="str">
        <f t="shared" si="171"/>
        <v xml:space="preserve">          </v>
      </c>
      <c r="P5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4" spans="1:16" x14ac:dyDescent="0.25">
      <c r="A534" t="str">
        <f t="shared" si="163"/>
        <v>10</v>
      </c>
      <c r="B534" t="str">
        <f t="shared" si="173"/>
        <v>23</v>
      </c>
      <c r="C534" s="1">
        <v>45498</v>
      </c>
      <c r="D534" t="str">
        <f>CLEAN("4125-16-50")</f>
        <v>4125-16-50</v>
      </c>
      <c r="E534" t="str">
        <f>CLEAN("207  ")</f>
        <v xml:space="preserve">207  </v>
      </c>
      <c r="F534" t="str">
        <f>CLEAN("$100,000-$249,999        ")</f>
        <v xml:space="preserve">$100,000-$249,999        </v>
      </c>
      <c r="G534" t="str">
        <f>CLEAN("R/R")</f>
        <v>R/R</v>
      </c>
      <c r="H534" t="str">
        <f>CLEAN("NONLET CONSTR/REAL ESTATE")</f>
        <v>NONLET CONSTR/REAL ESTATE</v>
      </c>
      <c r="I534" t="str">
        <f>CLEAN("RR CROSSING XING SURFACE           ")</f>
        <v xml:space="preserve">RR CROSSING XING SURFACE           </v>
      </c>
      <c r="J534" t="str">
        <f>CLEAN("STH 029")</f>
        <v>STH 029</v>
      </c>
      <c r="K534" t="str">
        <f>CLEAN("BROWN                         ")</f>
        <v xml:space="preserve">BROWN                         </v>
      </c>
      <c r="L534" t="str">
        <f>CLEAN("RR XING SURFACE 181499D            ")</f>
        <v xml:space="preserve">RR XING SURFACE 181499D            </v>
      </c>
      <c r="M534" t="str">
        <f>CLEAN("V BELLEVUE MP 106.02 DENMARK SPUR  ")</f>
        <v xml:space="preserve">V BELLEVUE MP 106.02 DENMARK SPUR  </v>
      </c>
      <c r="N534">
        <v>0.09</v>
      </c>
      <c r="O534" t="str">
        <f t="shared" si="171"/>
        <v xml:space="preserve">          </v>
      </c>
      <c r="P534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535" spans="1:16" x14ac:dyDescent="0.25">
      <c r="A535" t="str">
        <f t="shared" si="163"/>
        <v>10</v>
      </c>
      <c r="B535" t="str">
        <f t="shared" si="173"/>
        <v>23</v>
      </c>
      <c r="C535" s="1">
        <v>45316</v>
      </c>
      <c r="D535" t="str">
        <f>CLEAN("4140-10-74")</f>
        <v>4140-10-74</v>
      </c>
      <c r="E535" t="str">
        <f>CLEAN("211  ")</f>
        <v xml:space="preserve">211  </v>
      </c>
      <c r="F535" t="str">
        <f>CLEAN("$3,000,000 - $3,999,999  ")</f>
        <v xml:space="preserve">$3,000,000 - $3,999,999  </v>
      </c>
      <c r="G535" t="str">
        <f>CLEAN("LLC")</f>
        <v>LLC</v>
      </c>
      <c r="H535" t="str">
        <f>CLEAN("NONLET CONSTR/REAL ESTATE")</f>
        <v>NONLET CONSTR/REAL ESTATE</v>
      </c>
      <c r="I535" t="str">
        <f>CLEAN("CONST/RCND10                       ")</f>
        <v xml:space="preserve">CONST/RCND10                       </v>
      </c>
      <c r="J535" t="str">
        <f>CLEAN("STH 042")</f>
        <v>STH 042</v>
      </c>
      <c r="K535" t="str">
        <f>CLEAN("DOOR                          ")</f>
        <v xml:space="preserve">DOOR                          </v>
      </c>
      <c r="L535" t="str">
        <f>CLEAN("V EGG HARBOR, STH 42               ")</f>
        <v xml:space="preserve">V EGG HARBOR, STH 42               </v>
      </c>
      <c r="M535" t="str">
        <f>CLEAN("HARBOR SCHOOL ROAD - CHURCH STREET ")</f>
        <v xml:space="preserve">HARBOR SCHOOL ROAD - CHURCH STREET </v>
      </c>
      <c r="N535">
        <v>0.97099999999999997</v>
      </c>
      <c r="O535" t="str">
        <f t="shared" si="171"/>
        <v xml:space="preserve">          </v>
      </c>
      <c r="P535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536" spans="1:16" x14ac:dyDescent="0.25">
      <c r="A536" t="str">
        <f t="shared" si="163"/>
        <v>10</v>
      </c>
      <c r="B536" t="str">
        <f t="shared" si="173"/>
        <v>23</v>
      </c>
      <c r="C536" s="1">
        <v>45272</v>
      </c>
      <c r="D536" t="str">
        <f>CLEAN("4140-28-71")</f>
        <v>4140-28-71</v>
      </c>
      <c r="E536" t="str">
        <f>CLEAN("303  ")</f>
        <v xml:space="preserve">303  </v>
      </c>
      <c r="F536" t="str">
        <f>CLEAN("$8,000,000 - $8,999,999  ")</f>
        <v xml:space="preserve">$8,000,000 - $8,999,999  </v>
      </c>
      <c r="G536" t="str">
        <f>CLEAN("LET")</f>
        <v>LET</v>
      </c>
      <c r="H536" t="str">
        <f>CLEAN("LET CONSTRUCTION         ")</f>
        <v xml:space="preserve">LET CONSTRUCTION         </v>
      </c>
      <c r="I536" t="str">
        <f>CLEAN("CONST OPS/RSRF                     ")</f>
        <v xml:space="preserve">CONST OPS/RSRF                     </v>
      </c>
      <c r="J536" t="str">
        <f>CLEAN("STH 042")</f>
        <v>STH 042</v>
      </c>
      <c r="K536" t="str">
        <f>CLEAN("DOOR                          ")</f>
        <v xml:space="preserve">DOOR                          </v>
      </c>
      <c r="L536" t="str">
        <f>CLEAN("STURGEON BAY-EGG HARBOR            ")</f>
        <v xml:space="preserve">STURGEON BAY-EGG HARBOR            </v>
      </c>
      <c r="M536" t="str">
        <f>CLEAN("MID JUNCTION-CTH T                 ")</f>
        <v xml:space="preserve">MID JUNCTION-CTH T                 </v>
      </c>
      <c r="N536">
        <v>12.076000000000001</v>
      </c>
      <c r="O536" t="str">
        <f t="shared" si="171"/>
        <v xml:space="preserve">          </v>
      </c>
      <c r="P5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7" spans="1:16" x14ac:dyDescent="0.25">
      <c r="A537" t="str">
        <f t="shared" si="163"/>
        <v>10</v>
      </c>
      <c r="B537" t="str">
        <f t="shared" si="173"/>
        <v>23</v>
      </c>
      <c r="C537" s="1">
        <v>45272</v>
      </c>
      <c r="D537" t="str">
        <f>CLEAN("4140-34-60")</f>
        <v>4140-34-60</v>
      </c>
      <c r="E537" t="str">
        <f>CLEAN("303  ")</f>
        <v xml:space="preserve">303  </v>
      </c>
      <c r="F537" t="str">
        <f>CLEAN("$2,000,000 - $2,999,999  ")</f>
        <v xml:space="preserve">$2,000,000 - $2,999,999  </v>
      </c>
      <c r="G537" t="str">
        <f>CLEAN("LET")</f>
        <v>LET</v>
      </c>
      <c r="H537" t="str">
        <f>CLEAN("LET CONSTRUCTION         ")</f>
        <v xml:space="preserve">LET CONSTRUCTION         </v>
      </c>
      <c r="I537" t="str">
        <f>CLEAN("CONST/PSRS                         ")</f>
        <v xml:space="preserve">CONST/PSRS                         </v>
      </c>
      <c r="J537" t="str">
        <f>CLEAN("STH 042")</f>
        <v>STH 042</v>
      </c>
      <c r="K537" t="str">
        <f>CLEAN("DOOR                          ")</f>
        <v xml:space="preserve">DOOR                          </v>
      </c>
      <c r="L537" t="str">
        <f>CLEAN("EGG HARBOR-FISH CREEK              ")</f>
        <v xml:space="preserve">EGG HARBOR-FISH CREEK              </v>
      </c>
      <c r="M537" t="str">
        <f>CLEAN("RAINBOW RIDGE RD-BLUFF LN          ")</f>
        <v xml:space="preserve">RAINBOW RIDGE RD-BLUFF LN          </v>
      </c>
      <c r="N537">
        <v>7.0419999999999998</v>
      </c>
      <c r="O537" t="str">
        <f t="shared" si="171"/>
        <v xml:space="preserve">          </v>
      </c>
      <c r="P5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8" spans="1:16" x14ac:dyDescent="0.25">
      <c r="A538" t="str">
        <f t="shared" si="163"/>
        <v>10</v>
      </c>
      <c r="B538" t="str">
        <f t="shared" si="173"/>
        <v>23</v>
      </c>
      <c r="C538" s="1">
        <v>45482</v>
      </c>
      <c r="D538" t="str">
        <f>CLEAN("4150-26-71")</f>
        <v>4150-26-71</v>
      </c>
      <c r="E538" t="str">
        <f>CLEAN("303  ")</f>
        <v xml:space="preserve">303  </v>
      </c>
      <c r="F538" t="str">
        <f>CLEAN("$3,000,000 - $3,999,999  ")</f>
        <v xml:space="preserve">$3,000,000 - $3,999,999  </v>
      </c>
      <c r="G538" t="str">
        <f>CLEAN("LET")</f>
        <v>LET</v>
      </c>
      <c r="H538" t="str">
        <f>CLEAN("LET CONSTRUCTION         ")</f>
        <v xml:space="preserve">LET CONSTRUCTION         </v>
      </c>
      <c r="I538" t="str">
        <f>CLEAN("CONST/BOX CULVERT REPLACEMENT      ")</f>
        <v xml:space="preserve">CONST/BOX CULVERT REPLACEMENT      </v>
      </c>
      <c r="J538" t="str">
        <f>CLEAN("STH 057")</f>
        <v>STH 057</v>
      </c>
      <c r="K538" t="str">
        <f>CLEAN("DOOR                          ")</f>
        <v xml:space="preserve">DOOR                          </v>
      </c>
      <c r="L538" t="str">
        <f>CLEAN("MID JUNCTION - BAILEYS HARBOR      ")</f>
        <v xml:space="preserve">MID JUNCTION - BAILEYS HARBOR      </v>
      </c>
      <c r="M538" t="str">
        <f>CLEAN("STH 42 - SUMMIT ROAD               ")</f>
        <v xml:space="preserve">STH 42 - SUMMIT ROAD               </v>
      </c>
      <c r="N538">
        <v>0.30499999999999999</v>
      </c>
      <c r="O538" t="str">
        <f t="shared" si="171"/>
        <v xml:space="preserve">          </v>
      </c>
      <c r="P5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39" spans="1:16" x14ac:dyDescent="0.25">
      <c r="A539" t="str">
        <f t="shared" si="163"/>
        <v>10</v>
      </c>
      <c r="B539" t="str">
        <f t="shared" si="173"/>
        <v>23</v>
      </c>
      <c r="C539" s="1">
        <v>45636</v>
      </c>
      <c r="D539" t="str">
        <f>CLEAN("4232-00-71")</f>
        <v>4232-00-71</v>
      </c>
      <c r="E539" t="str">
        <f>CLEAN("206  ")</f>
        <v xml:space="preserve">206  </v>
      </c>
      <c r="F539" t="str">
        <f>CLEAN("$5,000,000 - $5,999,999  ")</f>
        <v xml:space="preserve">$5,000,000 - $5,999,999  </v>
      </c>
      <c r="G539" t="str">
        <f>CLEAN("LET")</f>
        <v>LET</v>
      </c>
      <c r="H539" t="str">
        <f>CLEAN("LET CONSTRUCTION         ")</f>
        <v xml:space="preserve">LET CONSTRUCTION         </v>
      </c>
      <c r="I539" t="str">
        <f>CLEAN("CONST OPS/RECST                    ")</f>
        <v xml:space="preserve">CONST OPS/RECST                    </v>
      </c>
      <c r="J539" t="str">
        <f>CLEAN("CTH EE ")</f>
        <v xml:space="preserve">CTH EE </v>
      </c>
      <c r="K539" t="str">
        <f>CLEAN("SHEBOYGAN                     ")</f>
        <v xml:space="preserve">SHEBOYGAN                     </v>
      </c>
      <c r="L539" t="str">
        <f>CLEAN("C SHEBOYGAN, WEEDEN CREEK ROAD     ")</f>
        <v xml:space="preserve">C SHEBOYGAN, WEEDEN CREEK ROAD     </v>
      </c>
      <c r="M539" t="str">
        <f>CLEAN("CTH OK TO S 12TH STREET            ")</f>
        <v xml:space="preserve">CTH OK TO S 12TH STREET            </v>
      </c>
      <c r="N539">
        <v>1.226</v>
      </c>
      <c r="O539" t="str">
        <f t="shared" si="171"/>
        <v xml:space="preserve">          </v>
      </c>
      <c r="P539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540" spans="1:16" x14ac:dyDescent="0.25">
      <c r="A540" t="str">
        <f t="shared" si="163"/>
        <v>10</v>
      </c>
      <c r="B540" t="str">
        <f t="shared" si="173"/>
        <v>23</v>
      </c>
      <c r="C540" s="1">
        <v>45517</v>
      </c>
      <c r="D540" t="str">
        <f>CLEAN("4312-09-71")</f>
        <v>4312-09-71</v>
      </c>
      <c r="E540" t="str">
        <f>CLEAN("205  ")</f>
        <v xml:space="preserve">205  </v>
      </c>
      <c r="F540" t="str">
        <f>CLEAN("$750,000 - $999,999      ")</f>
        <v xml:space="preserve">$750,000 - $999,999      </v>
      </c>
      <c r="G540" t="str">
        <f>CLEAN("LET")</f>
        <v>LET</v>
      </c>
      <c r="H540" t="str">
        <f>CLEAN("LET CONSTRUCTION         ")</f>
        <v xml:space="preserve">LET CONSTRUCTION         </v>
      </c>
      <c r="I540" t="str">
        <f>CLEAN("CONST OPS/BRRPL/B360252            ")</f>
        <v xml:space="preserve">CONST OPS/BRRPL/B360252            </v>
      </c>
      <c r="J540" t="str">
        <f>CLEAN("LOC STR")</f>
        <v>LOC STR</v>
      </c>
      <c r="K540" t="str">
        <f>CLEAN("MANITOWOC                     ")</f>
        <v xml:space="preserve">MANITOWOC                     </v>
      </c>
      <c r="L540" t="str">
        <f>CLEAN("T GIBSON, ROCKLEDGE ROAD           ")</f>
        <v xml:space="preserve">T GIBSON, ROCKLEDGE ROAD           </v>
      </c>
      <c r="M540" t="str">
        <f>CLEAN("EAST TWIN RIVER BRIDGE             ")</f>
        <v xml:space="preserve">EAST TWIN RIVER BRIDGE             </v>
      </c>
      <c r="N540">
        <v>0.126</v>
      </c>
      <c r="O540" t="str">
        <f t="shared" si="171"/>
        <v xml:space="preserve">          </v>
      </c>
      <c r="P54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41" spans="1:16" x14ac:dyDescent="0.25">
      <c r="A541" t="str">
        <f t="shared" si="163"/>
        <v>10</v>
      </c>
      <c r="B541" t="str">
        <f t="shared" si="173"/>
        <v>23</v>
      </c>
      <c r="C541" s="1">
        <v>45316</v>
      </c>
      <c r="D541" t="str">
        <f>CLEAN("4322-10-20")</f>
        <v>4322-10-20</v>
      </c>
      <c r="E541" t="str">
        <f>CLEAN("303  ")</f>
        <v xml:space="preserve">303  </v>
      </c>
      <c r="F541" t="str">
        <f>CLEAN("$0 - $99,999             ")</f>
        <v xml:space="preserve">$0 - $99,999             </v>
      </c>
      <c r="G541" t="str">
        <f>CLEAN("R/E")</f>
        <v>R/E</v>
      </c>
      <c r="H541" t="str">
        <f>CLEAN("NONLET CONSTR/REAL ESTATE")</f>
        <v>NONLET CONSTR/REAL ESTATE</v>
      </c>
      <c r="I541" t="str">
        <f>CLEAN("RE ACQUISITION/RW/RSRF             ")</f>
        <v xml:space="preserve">RE ACQUISITION/RW/RSRF             </v>
      </c>
      <c r="J541" t="str">
        <f>CLEAN("STH 067")</f>
        <v>STH 067</v>
      </c>
      <c r="K541" t="str">
        <f>CLEAN("MANITOWOC                     ")</f>
        <v xml:space="preserve">MANITOWOC                     </v>
      </c>
      <c r="L541" t="str">
        <f>CLEAN("KIEL - USH 151                     ")</f>
        <v xml:space="preserve">KIEL - USH 151                     </v>
      </c>
      <c r="M541" t="str">
        <f>CLEAN("STH 32 - USH 151                   ")</f>
        <v xml:space="preserve">STH 32 - USH 151                   </v>
      </c>
      <c r="N541">
        <v>7.9370000000000003</v>
      </c>
      <c r="O541" t="str">
        <f t="shared" si="171"/>
        <v xml:space="preserve">          </v>
      </c>
      <c r="P5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42" spans="1:16" x14ac:dyDescent="0.25">
      <c r="A542" t="str">
        <f t="shared" si="163"/>
        <v>10</v>
      </c>
      <c r="B542" t="str">
        <f t="shared" si="173"/>
        <v>23</v>
      </c>
      <c r="C542" s="1">
        <v>45363</v>
      </c>
      <c r="D542" t="str">
        <f>CLEAN("4390-07-71")</f>
        <v>4390-07-71</v>
      </c>
      <c r="E542" t="str">
        <f>CLEAN("206  ")</f>
        <v xml:space="preserve">206  </v>
      </c>
      <c r="F542" t="str">
        <f>CLEAN("$2,000,000 - $2,999,999  ")</f>
        <v xml:space="preserve">$2,000,000 - $2,999,999  </v>
      </c>
      <c r="G542" t="str">
        <f>CLEAN("LET")</f>
        <v>LET</v>
      </c>
      <c r="H542" t="str">
        <f>CLEAN("LET CONSTRUCTION         ")</f>
        <v xml:space="preserve">LET CONSTRUCTION         </v>
      </c>
      <c r="I542" t="str">
        <f>CLEAN("CONST OPS/RCND10                   ")</f>
        <v xml:space="preserve">CONST OPS/RCND10                   </v>
      </c>
      <c r="J542" t="str">
        <f>CLEAN("CTH C  ")</f>
        <v xml:space="preserve">CTH C  </v>
      </c>
      <c r="K542" t="str">
        <f>CLEAN("KEWAUNEE                      ")</f>
        <v xml:space="preserve">KEWAUNEE                      </v>
      </c>
      <c r="L542" t="str">
        <f>CLEAN("KEWAUNEE - RYANS CORNER            ")</f>
        <v xml:space="preserve">KEWAUNEE - RYANS CORNER            </v>
      </c>
      <c r="M542" t="str">
        <f>CLEAN("STH 29 TO CTH L                    ")</f>
        <v xml:space="preserve">STH 29 TO CTH L                    </v>
      </c>
      <c r="N542">
        <v>3.048</v>
      </c>
      <c r="O542" t="str">
        <f t="shared" si="171"/>
        <v xml:space="preserve">          </v>
      </c>
      <c r="P542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43" spans="1:16" x14ac:dyDescent="0.25">
      <c r="A543" t="str">
        <f t="shared" si="163"/>
        <v>10</v>
      </c>
      <c r="B543" t="str">
        <f t="shared" si="173"/>
        <v>23</v>
      </c>
      <c r="C543" s="1">
        <v>45376</v>
      </c>
      <c r="D543" t="str">
        <f>CLEAN("4424-01-00")</f>
        <v>4424-01-00</v>
      </c>
      <c r="E543" t="str">
        <f>CLEAN("290  ")</f>
        <v xml:space="preserve">290  </v>
      </c>
      <c r="F543" t="str">
        <f>CLEAN("$100,000-$249,999        ")</f>
        <v xml:space="preserve">$100,000-$249,999        </v>
      </c>
      <c r="G543" t="str">
        <f>CLEAN("MIS")</f>
        <v>MIS</v>
      </c>
      <c r="H543" t="str">
        <f>CLEAN("NONLET CONSTR/REAL ESTATE")</f>
        <v>NONLET CONSTR/REAL ESTATE</v>
      </c>
      <c r="I543" t="str">
        <f>CLEAN("PLAN/MISC                          ")</f>
        <v xml:space="preserve">PLAN/MISC                          </v>
      </c>
      <c r="J543" t="str">
        <f>CLEAN("STH 042")</f>
        <v>STH 042</v>
      </c>
      <c r="K543" t="str">
        <f>CLEAN("DOOR                          ")</f>
        <v xml:space="preserve">DOOR                          </v>
      </c>
      <c r="L543" t="str">
        <f>CLEAN("T GIBRALTAR, FEASIBILTY STUDY      ")</f>
        <v xml:space="preserve">T GIBRALTAR, FEASIBILTY STUDY      </v>
      </c>
      <c r="M543" t="str">
        <f>CLEAN("EGG HARBOR - SISTER BAY            ")</f>
        <v xml:space="preserve">EGG HARBOR - SISTER BAY            </v>
      </c>
      <c r="N543">
        <v>14.32</v>
      </c>
      <c r="O543" t="str">
        <f t="shared" si="171"/>
        <v xml:space="preserve">          </v>
      </c>
      <c r="P543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544" spans="1:16" x14ac:dyDescent="0.25">
      <c r="A544" t="str">
        <f t="shared" si="163"/>
        <v>10</v>
      </c>
      <c r="B544" t="str">
        <f t="shared" si="173"/>
        <v>23</v>
      </c>
      <c r="C544" s="1">
        <v>45285</v>
      </c>
      <c r="D544" t="str">
        <f>CLEAN("4479-04-00")</f>
        <v>4479-04-00</v>
      </c>
      <c r="E544" t="str">
        <f>CLEAN("290  ")</f>
        <v xml:space="preserve">290  </v>
      </c>
      <c r="F544" t="str">
        <f>CLEAN("$0 - $99,999             ")</f>
        <v xml:space="preserve">$0 - $99,999             </v>
      </c>
      <c r="G544" t="str">
        <f>CLEAN("MIS")</f>
        <v>MIS</v>
      </c>
      <c r="H544" t="str">
        <f>CLEAN("NONLET CONSTR/REAL ESTATE")</f>
        <v>NONLET CONSTR/REAL ESTATE</v>
      </c>
      <c r="I544" t="str">
        <f>CLEAN("PLAN/MISC                          ")</f>
        <v xml:space="preserve">PLAN/MISC                          </v>
      </c>
      <c r="J544" t="str">
        <f>CLEAN("NON HWY")</f>
        <v>NON HWY</v>
      </c>
      <c r="K544" t="str">
        <f>CLEAN("CALUMET                       ")</f>
        <v xml:space="preserve">CALUMET                       </v>
      </c>
      <c r="L544" t="str">
        <f>CLEAN("V HARRISON, FEASIBILITY STUDY      ")</f>
        <v xml:space="preserve">V HARRISON, FEASIBILITY STUDY      </v>
      </c>
      <c r="M544" t="str">
        <f>CLEAN("LOCAL ROADS                        ")</f>
        <v xml:space="preserve">LOCAL ROADS                        </v>
      </c>
      <c r="N544">
        <v>3.2959999999999998</v>
      </c>
      <c r="O544" t="str">
        <f t="shared" si="171"/>
        <v xml:space="preserve">          </v>
      </c>
      <c r="P544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45" spans="1:16" x14ac:dyDescent="0.25">
      <c r="A545" t="str">
        <f t="shared" si="163"/>
        <v>10</v>
      </c>
      <c r="B545" t="str">
        <f t="shared" si="173"/>
        <v>23</v>
      </c>
      <c r="C545" s="1">
        <v>45285</v>
      </c>
      <c r="D545" t="str">
        <f>CLEAN("4479-05-00")</f>
        <v>4479-05-00</v>
      </c>
      <c r="E545" t="str">
        <f>CLEAN("290  ")</f>
        <v xml:space="preserve">290  </v>
      </c>
      <c r="F545" t="str">
        <f>CLEAN("$0 - $99,999             ")</f>
        <v xml:space="preserve">$0 - $99,999             </v>
      </c>
      <c r="G545" t="str">
        <f>CLEAN("MIS")</f>
        <v>MIS</v>
      </c>
      <c r="H545" t="str">
        <f>CLEAN("NONLET CONSTR/REAL ESTATE")</f>
        <v>NONLET CONSTR/REAL ESTATE</v>
      </c>
      <c r="I545" t="str">
        <f>CLEAN("PLAN/MISC                          ")</f>
        <v xml:space="preserve">PLAN/MISC                          </v>
      </c>
      <c r="J545" t="str">
        <f>CLEAN("NON HWY")</f>
        <v>NON HWY</v>
      </c>
      <c r="K545" t="str">
        <f>CLEAN("CALUMET                       ")</f>
        <v xml:space="preserve">CALUMET                       </v>
      </c>
      <c r="L545" t="str">
        <f>CLEAN("C MENASHA, FEASIBILITY STUDY       ")</f>
        <v xml:space="preserve">C MENASHA, FEASIBILITY STUDY       </v>
      </c>
      <c r="M545" t="str">
        <f>CLEAN("STH 114                            ")</f>
        <v xml:space="preserve">STH 114                            </v>
      </c>
      <c r="N545">
        <v>1.52</v>
      </c>
      <c r="O545" t="str">
        <f t="shared" si="171"/>
        <v xml:space="preserve">          </v>
      </c>
      <c r="P545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46" spans="1:16" x14ac:dyDescent="0.25">
      <c r="A546" t="str">
        <f t="shared" si="163"/>
        <v>10</v>
      </c>
      <c r="B546" t="str">
        <f t="shared" si="173"/>
        <v>23</v>
      </c>
      <c r="C546" s="1">
        <v>45426</v>
      </c>
      <c r="D546" t="str">
        <f>CLEAN("4494-07-71")</f>
        <v>4494-07-71</v>
      </c>
      <c r="E546" t="str">
        <f>CLEAN("205  ")</f>
        <v xml:space="preserve">205  </v>
      </c>
      <c r="F546" t="str">
        <f>CLEAN("$1,000,000 - $1,999,999  ")</f>
        <v xml:space="preserve">$1,000,000 - $1,999,999  </v>
      </c>
      <c r="G546" t="str">
        <f>CLEAN("LET")</f>
        <v>LET</v>
      </c>
      <c r="H546" t="str">
        <f>CLEAN("LET CONSTRUCTION         ")</f>
        <v xml:space="preserve">LET CONSTRUCTION         </v>
      </c>
      <c r="I546" t="str">
        <f>CLEAN("CONST/BRRPL B440003                ")</f>
        <v xml:space="preserve">CONST/BRRPL B440003                </v>
      </c>
      <c r="J546" t="str">
        <f>CLEAN("CTH KK ")</f>
        <v xml:space="preserve">CTH KK </v>
      </c>
      <c r="K546" t="str">
        <f>CLEAN("OUTAGAMIE                     ")</f>
        <v xml:space="preserve">OUTAGAMIE                     </v>
      </c>
      <c r="L546" t="str">
        <f>CLEAN("BUCHANAN - HOLLAND                 ")</f>
        <v xml:space="preserve">BUCHANAN - HOLLAND                 </v>
      </c>
      <c r="M546" t="str">
        <f>CLEAN("KANKAPOT CREEK BRIDGE              ")</f>
        <v xml:space="preserve">KANKAPOT CREEK BRIDGE              </v>
      </c>
      <c r="N546">
        <v>0.42</v>
      </c>
      <c r="O546" t="str">
        <f t="shared" si="171"/>
        <v xml:space="preserve">          </v>
      </c>
      <c r="P54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47" spans="1:16" x14ac:dyDescent="0.25">
      <c r="A547" t="str">
        <f t="shared" si="163"/>
        <v>10</v>
      </c>
      <c r="B547" t="str">
        <f t="shared" si="173"/>
        <v>23</v>
      </c>
      <c r="C547" s="1">
        <v>45300</v>
      </c>
      <c r="D547" t="str">
        <f>CLEAN("4516-10-71")</f>
        <v>4516-10-71</v>
      </c>
      <c r="E547" t="str">
        <f>CLEAN("206  ")</f>
        <v xml:space="preserve">206  </v>
      </c>
      <c r="F547" t="str">
        <f>CLEAN("$2,000,000 - $2,999,999  ")</f>
        <v xml:space="preserve">$2,000,000 - $2,999,999  </v>
      </c>
      <c r="G547" t="str">
        <f>CLEAN("LET")</f>
        <v>LET</v>
      </c>
      <c r="H547" t="str">
        <f>CLEAN("LET CONSTRUCTION         ")</f>
        <v xml:space="preserve">LET CONSTRUCTION         </v>
      </c>
      <c r="I547" t="str">
        <f>CLEAN("CNST OPS/RECST                     ")</f>
        <v xml:space="preserve">CNST OPS/RECST                     </v>
      </c>
      <c r="J547" t="str">
        <f>CLEAN("LOC STR")</f>
        <v>LOC STR</v>
      </c>
      <c r="K547" t="str">
        <f>CLEAN("BROWN                         ")</f>
        <v xml:space="preserve">BROWN                         </v>
      </c>
      <c r="L547" t="str">
        <f>CLEAN("V BELLEVUE, ALLOUEZ AVENUE         ")</f>
        <v xml:space="preserve">V BELLEVUE, ALLOUEZ AVENUE         </v>
      </c>
      <c r="M547" t="str">
        <f>CLEAN("HAZEN ROAD - USH 141               ")</f>
        <v xml:space="preserve">HAZEN ROAD - USH 141               </v>
      </c>
      <c r="N547">
        <v>0.91700000000000004</v>
      </c>
      <c r="O547" t="str">
        <f t="shared" si="171"/>
        <v xml:space="preserve">          </v>
      </c>
      <c r="P547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48" spans="1:16" x14ac:dyDescent="0.25">
      <c r="A548" t="str">
        <f t="shared" si="163"/>
        <v>10</v>
      </c>
      <c r="B548" t="str">
        <f t="shared" si="173"/>
        <v>23</v>
      </c>
      <c r="C548" s="1">
        <v>45335</v>
      </c>
      <c r="D548" t="str">
        <f>CLEAN("4517-06-71")</f>
        <v>4517-06-71</v>
      </c>
      <c r="E548" t="str">
        <f>CLEAN("206  ")</f>
        <v xml:space="preserve">206  </v>
      </c>
      <c r="F548" t="str">
        <f>CLEAN("$4,000,000 - $4,999,999  ")</f>
        <v xml:space="preserve">$4,000,000 - $4,999,999  </v>
      </c>
      <c r="G548" t="str">
        <f>CLEAN("LET")</f>
        <v>LET</v>
      </c>
      <c r="H548" t="str">
        <f>CLEAN("LET CONSTRUCTION         ")</f>
        <v xml:space="preserve">LET CONSTRUCTION         </v>
      </c>
      <c r="I548" t="str">
        <f>CLEAN("CNST OPS/RECST                     ")</f>
        <v xml:space="preserve">CNST OPS/RECST                     </v>
      </c>
      <c r="J548" t="str">
        <f>CLEAN("LOC STR")</f>
        <v>LOC STR</v>
      </c>
      <c r="K548" t="str">
        <f>CLEAN("BROWN                         ")</f>
        <v xml:space="preserve">BROWN                         </v>
      </c>
      <c r="L548" t="str">
        <f>CLEAN("V ALLOUEZ, LIBAL STREET            ")</f>
        <v xml:space="preserve">V ALLOUEZ, LIBAL STREET            </v>
      </c>
      <c r="M548" t="str">
        <f>CLEAN("STH 172 TO KALB AVE                ")</f>
        <v xml:space="preserve">STH 172 TO KALB AVE                </v>
      </c>
      <c r="N548">
        <v>1.5329999999999999</v>
      </c>
      <c r="O548" t="str">
        <f t="shared" si="171"/>
        <v xml:space="preserve">          </v>
      </c>
      <c r="P54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49" spans="1:16" x14ac:dyDescent="0.25">
      <c r="A549" t="str">
        <f t="shared" si="163"/>
        <v>10</v>
      </c>
      <c r="B549" t="str">
        <f t="shared" si="173"/>
        <v>23</v>
      </c>
      <c r="C549" s="1">
        <v>45468</v>
      </c>
      <c r="D549" t="str">
        <f>CLEAN("4519-00-00")</f>
        <v>4519-00-00</v>
      </c>
      <c r="E549" t="str">
        <f>CLEAN("209  ")</f>
        <v xml:space="preserve">209  </v>
      </c>
      <c r="F549" t="str">
        <f>CLEAN("$750,000 - $999,999      ")</f>
        <v xml:space="preserve">$750,000 - $999,999      </v>
      </c>
      <c r="G549" t="str">
        <f>CLEAN("ATR")</f>
        <v>ATR</v>
      </c>
      <c r="H549" t="str">
        <f>CLEAN("NONLET CONSTR/REAL ESTATE")</f>
        <v>NONLET CONSTR/REAL ESTATE</v>
      </c>
      <c r="I549" t="str">
        <f>CLEAN("RAILROAD SPUR / LLC / TEA          ")</f>
        <v xml:space="preserve">RAILROAD SPUR / LLC / TEA          </v>
      </c>
      <c r="J549" t="str">
        <f>CLEAN("LOC STR")</f>
        <v>LOC STR</v>
      </c>
      <c r="K549" t="str">
        <f>CLEAN("BROWN                         ")</f>
        <v xml:space="preserve">BROWN                         </v>
      </c>
      <c r="L549" t="str">
        <f>CLEAN("V. WRIGHTSTOWN - ALLIANCE PLASTICS ")</f>
        <v xml:space="preserve">V. WRIGHTSTOWN - ALLIANCE PLASTICS </v>
      </c>
      <c r="M549" t="str">
        <f>CLEAN("1,384'SPUR-DREXEL TR./CANADIAN TR. ")</f>
        <v xml:space="preserve">1,384'SPUR-DREXEL TR./CANADIAN TR. </v>
      </c>
      <c r="N549">
        <v>0.19600000000000001</v>
      </c>
      <c r="O549" t="str">
        <f t="shared" si="171"/>
        <v xml:space="preserve">          </v>
      </c>
      <c r="P549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550" spans="1:16" x14ac:dyDescent="0.25">
      <c r="A550" t="str">
        <f t="shared" si="163"/>
        <v>10</v>
      </c>
      <c r="B550" t="str">
        <f t="shared" si="173"/>
        <v>23</v>
      </c>
      <c r="C550" s="1">
        <v>45468</v>
      </c>
      <c r="D550" t="str">
        <f>CLEAN("4519-00-01")</f>
        <v>4519-00-01</v>
      </c>
      <c r="E550" t="str">
        <f>CLEAN("209  ")</f>
        <v xml:space="preserve">209  </v>
      </c>
      <c r="F550" t="str">
        <f>CLEAN("$1,000,000 - $1,999,999  ")</f>
        <v xml:space="preserve">$1,000,000 - $1,999,999  </v>
      </c>
      <c r="G550" t="str">
        <f>CLEAN("ATR")</f>
        <v>ATR</v>
      </c>
      <c r="H550" t="str">
        <f>CLEAN("NONLET CONSTR/REAL ESTATE")</f>
        <v>NONLET CONSTR/REAL ESTATE</v>
      </c>
      <c r="I550" t="str">
        <f>CLEAN("RAILROAD SPUR / LLC / TEA          ")</f>
        <v xml:space="preserve">RAILROAD SPUR / LLC / TEA          </v>
      </c>
      <c r="J550" t="str">
        <f>CLEAN("CTH DD ")</f>
        <v xml:space="preserve">CTH DD </v>
      </c>
      <c r="K550" t="str">
        <f>CLEAN("BROWN                         ")</f>
        <v xml:space="preserve">BROWN                         </v>
      </c>
      <c r="L550" t="str">
        <f>CLEAN("V. WRIGHTSTOWN - DREXEL LUMBERS    ")</f>
        <v xml:space="preserve">V. WRIGHTSTOWN - DREXEL LUMBERS    </v>
      </c>
      <c r="M550" t="str">
        <f>CLEAN("1,384'SPUR-DREXEL TR./CANADIAN TR. ")</f>
        <v xml:space="preserve">1,384'SPUR-DREXEL TR./CANADIAN TR. </v>
      </c>
      <c r="N550">
        <v>0.79100000000000004</v>
      </c>
      <c r="O550" t="str">
        <f t="shared" si="171"/>
        <v xml:space="preserve">          </v>
      </c>
      <c r="P550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551" spans="1:16" x14ac:dyDescent="0.25">
      <c r="A551" t="str">
        <f t="shared" si="163"/>
        <v>10</v>
      </c>
      <c r="B551" t="str">
        <f t="shared" si="173"/>
        <v>23</v>
      </c>
      <c r="C551" s="1">
        <v>45608</v>
      </c>
      <c r="D551" t="str">
        <f>CLEAN("4540-34-71")</f>
        <v>4540-34-71</v>
      </c>
      <c r="E551" t="str">
        <f>CLEAN("303  ")</f>
        <v xml:space="preserve">303  </v>
      </c>
      <c r="F551" t="str">
        <f>CLEAN("$750,000 - $999,999      ")</f>
        <v xml:space="preserve">$750,000 - $999,999      </v>
      </c>
      <c r="G551" t="str">
        <f>CLEAN("LET")</f>
        <v>LET</v>
      </c>
      <c r="H551" t="str">
        <f>CLEAN("LET CONSTRUCTION         ")</f>
        <v xml:space="preserve">LET CONSTRUCTION         </v>
      </c>
      <c r="I551" t="str">
        <f>CLEAN("CNST/BRRPL/C-05-0093/2650/2916/0080")</f>
        <v>CNST/BRRPL/C-05-0093/2650/2916/0080</v>
      </c>
      <c r="J551" t="str">
        <f>CLEAN("STH 032")</f>
        <v>STH 032</v>
      </c>
      <c r="K551" t="str">
        <f>CLEAN("SHEBOYGAN                     ")</f>
        <v xml:space="preserve">SHEBOYGAN                     </v>
      </c>
      <c r="L551" t="str">
        <f>CLEAN("CEDAR GROVE - SHEBOYGAN FALLS      ")</f>
        <v xml:space="preserve">CEDAR GROVE - SHEBOYGAN FALLS      </v>
      </c>
      <c r="M551" t="str">
        <f>CLEAN("CTH D - STH 28                     ")</f>
        <v xml:space="preserve">CTH D - STH 28                     </v>
      </c>
      <c r="N551">
        <v>10.07</v>
      </c>
      <c r="O551" t="str">
        <f>CLEAN("4540-36-71")</f>
        <v>4540-36-71</v>
      </c>
      <c r="P55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52" spans="1:16" x14ac:dyDescent="0.25">
      <c r="A552" t="str">
        <f t="shared" si="163"/>
        <v>10</v>
      </c>
      <c r="B552" t="str">
        <f t="shared" si="173"/>
        <v>23</v>
      </c>
      <c r="C552" s="1">
        <v>45347</v>
      </c>
      <c r="D552" t="str">
        <f>CLEAN("4540-36-41")</f>
        <v>4540-36-41</v>
      </c>
      <c r="E552" t="str">
        <f>CLEAN("303  ")</f>
        <v xml:space="preserve">303  </v>
      </c>
      <c r="F552" t="str">
        <f>CLEAN("$0 - $99,999             ")</f>
        <v xml:space="preserve">$0 - $99,999             </v>
      </c>
      <c r="G552" t="str">
        <f>CLEAN("UTL")</f>
        <v>UTL</v>
      </c>
      <c r="H552" t="str">
        <f>CLEAN("NONLET CONSTR/REAL ESTATE")</f>
        <v>NONLET CONSTR/REAL ESTATE</v>
      </c>
      <c r="I552" t="str">
        <f>CLEAN("UTL OPS RELOCATION                 ")</f>
        <v xml:space="preserve">UTL OPS RELOCATION                 </v>
      </c>
      <c r="J552" t="str">
        <f>CLEAN("STH 032")</f>
        <v>STH 032</v>
      </c>
      <c r="K552" t="str">
        <f>CLEAN("SHEBOYGAN                     ")</f>
        <v xml:space="preserve">SHEBOYGAN                     </v>
      </c>
      <c r="L552" t="str">
        <f>CLEAN("CEDAR GROVE-SHEBOYGAN FALLS        ")</f>
        <v xml:space="preserve">CEDAR GROVE-SHEBOYGAN FALLS        </v>
      </c>
      <c r="M552" t="str">
        <f>CLEAN("CTH D-STH 28                       ")</f>
        <v xml:space="preserve">CTH D-STH 28                       </v>
      </c>
      <c r="N552">
        <v>10.26</v>
      </c>
      <c r="O552" t="str">
        <f>CLEAN("          ")</f>
        <v xml:space="preserve">          </v>
      </c>
      <c r="P5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3" spans="1:16" x14ac:dyDescent="0.25">
      <c r="A553" t="str">
        <f t="shared" si="163"/>
        <v>10</v>
      </c>
      <c r="B553" t="str">
        <f t="shared" si="173"/>
        <v>23</v>
      </c>
      <c r="C553" s="1">
        <v>45608</v>
      </c>
      <c r="D553" t="str">
        <f>CLEAN("4540-36-71")</f>
        <v>4540-36-71</v>
      </c>
      <c r="E553" t="str">
        <f>CLEAN("303  ")</f>
        <v xml:space="preserve">303  </v>
      </c>
      <c r="F553" t="str">
        <f>CLEAN("$4,000,000 - $4,999,999  ")</f>
        <v xml:space="preserve">$4,000,000 - $4,999,999  </v>
      </c>
      <c r="G553" t="str">
        <f>CLEAN("LET")</f>
        <v>LET</v>
      </c>
      <c r="H553" t="str">
        <f>CLEAN("LET CONSTRUCTION         ")</f>
        <v xml:space="preserve">LET CONSTRUCTION         </v>
      </c>
      <c r="I553" t="str">
        <f>CLEAN("CONST OPS/RSRF                     ")</f>
        <v xml:space="preserve">CONST OPS/RSRF                     </v>
      </c>
      <c r="J553" t="str">
        <f>CLEAN("STH 032")</f>
        <v>STH 032</v>
      </c>
      <c r="K553" t="str">
        <f>CLEAN("SHEBOYGAN                     ")</f>
        <v xml:space="preserve">SHEBOYGAN                     </v>
      </c>
      <c r="L553" t="str">
        <f>CLEAN("CEDAR GROVE-SHEBOYGAN FALLS        ")</f>
        <v xml:space="preserve">CEDAR GROVE-SHEBOYGAN FALLS        </v>
      </c>
      <c r="M553" t="str">
        <f>CLEAN("CTH D-STH 28                       ")</f>
        <v xml:space="preserve">CTH D-STH 28                       </v>
      </c>
      <c r="N553">
        <v>10.26</v>
      </c>
      <c r="O553" t="str">
        <f>CLEAN("4540-34-71")</f>
        <v>4540-34-71</v>
      </c>
      <c r="P5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4" spans="1:16" x14ac:dyDescent="0.25">
      <c r="A554" t="str">
        <f t="shared" si="163"/>
        <v>10</v>
      </c>
      <c r="B554" t="str">
        <f t="shared" si="173"/>
        <v>23</v>
      </c>
      <c r="C554" s="1">
        <v>45529</v>
      </c>
      <c r="D554" t="str">
        <f>CLEAN("4580-09-21")</f>
        <v>4580-09-21</v>
      </c>
      <c r="E554" t="str">
        <f>CLEAN("303  ")</f>
        <v xml:space="preserve">303  </v>
      </c>
      <c r="F554" t="str">
        <f>CLEAN("$0 - $99,999             ")</f>
        <v xml:space="preserve">$0 - $99,999             </v>
      </c>
      <c r="G554" t="str">
        <f>CLEAN("R/E")</f>
        <v>R/E</v>
      </c>
      <c r="H554" t="str">
        <f>CLEAN("NONLET CONSTR/REAL ESTATE")</f>
        <v>NONLET CONSTR/REAL ESTATE</v>
      </c>
      <c r="I554" t="str">
        <f>CLEAN("RE ROW/RESURF MILL/OVERLAY         ")</f>
        <v xml:space="preserve">RE ROW/RESURF MILL/OVERLAY         </v>
      </c>
      <c r="J554" t="str">
        <f>CLEAN("STH 114")</f>
        <v>STH 114</v>
      </c>
      <c r="K554" t="str">
        <f>CLEAN("CALUMET                       ")</f>
        <v xml:space="preserve">CALUMET                       </v>
      </c>
      <c r="L554" t="str">
        <f>CLEAN("SHERWOOD-HILBERT                   ")</f>
        <v xml:space="preserve">SHERWOOD-HILBERT                   </v>
      </c>
      <c r="M554" t="str">
        <f>CLEAN("SOUTH JUNCTION STH 55-STH 32/57    ")</f>
        <v xml:space="preserve">SOUTH JUNCTION STH 55-STH 32/57    </v>
      </c>
      <c r="N554">
        <v>6.39</v>
      </c>
      <c r="O554" t="str">
        <f t="shared" ref="O554:O588" si="174">CLEAN("          ")</f>
        <v xml:space="preserve">          </v>
      </c>
      <c r="P55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5" spans="1:16" x14ac:dyDescent="0.25">
      <c r="A555" t="str">
        <f t="shared" si="163"/>
        <v>10</v>
      </c>
      <c r="B555" t="str">
        <f t="shared" si="173"/>
        <v>23</v>
      </c>
      <c r="C555" s="1">
        <v>45363</v>
      </c>
      <c r="D555" t="str">
        <f>CLEAN("4636-05-72")</f>
        <v>4636-05-72</v>
      </c>
      <c r="E555" t="str">
        <f>CLEAN("206  ")</f>
        <v xml:space="preserve">206  </v>
      </c>
      <c r="F555" t="str">
        <f>CLEAN("$5,000,000 - $5,999,999  ")</f>
        <v xml:space="preserve">$5,000,000 - $5,999,999  </v>
      </c>
      <c r="G555" t="str">
        <f>CLEAN("LET")</f>
        <v>LET</v>
      </c>
      <c r="H555" t="str">
        <f>CLEAN("LET CONSTRUCTION         ")</f>
        <v xml:space="preserve">LET CONSTRUCTION         </v>
      </c>
      <c r="I555" t="str">
        <f>CLEAN("CONST OPS/RECST                    ")</f>
        <v xml:space="preserve">CONST OPS/RECST                    </v>
      </c>
      <c r="J555" t="str">
        <f>CLEAN("CTH I  ")</f>
        <v xml:space="preserve">CTH I  </v>
      </c>
      <c r="K555" t="str">
        <f>CLEAN("WINNEBAGO                     ")</f>
        <v xml:space="preserve">WINNEBAGO                     </v>
      </c>
      <c r="L555" t="str">
        <f>CLEAN("C OSHKOSH, CTH I                   ")</f>
        <v xml:space="preserve">C OSHKOSH, CTH I                   </v>
      </c>
      <c r="M555" t="str">
        <f>CLEAN("W RIPPLE AVE - W WAUKAU AVE        ")</f>
        <v xml:space="preserve">W RIPPLE AVE - W WAUKAU AVE        </v>
      </c>
      <c r="N555">
        <v>1.2070000000000001</v>
      </c>
      <c r="O555" t="str">
        <f t="shared" si="174"/>
        <v xml:space="preserve">          </v>
      </c>
      <c r="P555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556" spans="1:16" x14ac:dyDescent="0.25">
      <c r="A556" t="str">
        <f t="shared" si="163"/>
        <v>10</v>
      </c>
      <c r="B556" t="str">
        <f t="shared" si="173"/>
        <v>23</v>
      </c>
      <c r="C556" s="1">
        <v>45636</v>
      </c>
      <c r="D556" t="str">
        <f>CLEAN("4676-04-71")</f>
        <v>4676-04-71</v>
      </c>
      <c r="E556" t="str">
        <f>CLEAN("206  ")</f>
        <v xml:space="preserve">206  </v>
      </c>
      <c r="F556" t="str">
        <f>CLEAN("$3,000,000 - $3,999,999  ")</f>
        <v xml:space="preserve">$3,000,000 - $3,999,999  </v>
      </c>
      <c r="G556" t="str">
        <f>CLEAN("LET")</f>
        <v>LET</v>
      </c>
      <c r="H556" t="str">
        <f>CLEAN("LET CONSTRUCTION         ")</f>
        <v xml:space="preserve">LET CONSTRUCTION         </v>
      </c>
      <c r="I556" t="str">
        <f>CLEAN("CONST OPS/RECST                    ")</f>
        <v xml:space="preserve">CONST OPS/RECST                    </v>
      </c>
      <c r="J556" t="str">
        <f>CLEAN("CTH N  ")</f>
        <v xml:space="preserve">CTH N  </v>
      </c>
      <c r="K556" t="str">
        <f>CLEAN("OUTAGAMIE                     ")</f>
        <v xml:space="preserve">OUTAGAMIE                     </v>
      </c>
      <c r="L556" t="str">
        <f>CLEAN("T BUCHANAN, CTH N                  ")</f>
        <v xml:space="preserve">T BUCHANAN, CTH N                  </v>
      </c>
      <c r="M556" t="str">
        <f>CLEAN("CTH KK TO CTH CE                   ")</f>
        <v xml:space="preserve">CTH KK TO CTH CE                   </v>
      </c>
      <c r="N556">
        <v>0.89600000000000002</v>
      </c>
      <c r="O556" t="str">
        <f t="shared" si="174"/>
        <v xml:space="preserve">          </v>
      </c>
      <c r="P556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57" spans="1:16" x14ac:dyDescent="0.25">
      <c r="A557" t="str">
        <f t="shared" si="163"/>
        <v>10</v>
      </c>
      <c r="B557" t="str">
        <f t="shared" si="173"/>
        <v>23</v>
      </c>
      <c r="C557" s="1">
        <v>45636</v>
      </c>
      <c r="D557" t="str">
        <f>CLEAN("4679-02-71")</f>
        <v>4679-02-71</v>
      </c>
      <c r="E557" t="str">
        <f>CLEAN("206  ")</f>
        <v xml:space="preserve">206  </v>
      </c>
      <c r="F557" t="str">
        <f>CLEAN("$3,000,000 - $3,999,999  ")</f>
        <v xml:space="preserve">$3,000,000 - $3,999,999  </v>
      </c>
      <c r="G557" t="str">
        <f>CLEAN("LET")</f>
        <v>LET</v>
      </c>
      <c r="H557" t="str">
        <f>CLEAN("LET CONSTRUCTION         ")</f>
        <v xml:space="preserve">LET CONSTRUCTION         </v>
      </c>
      <c r="I557" t="str">
        <f>CLEAN("CONST OPS/RECST                    ")</f>
        <v xml:space="preserve">CONST OPS/RECST                    </v>
      </c>
      <c r="J557" t="str">
        <f>CLEAN("CTH Z  ")</f>
        <v xml:space="preserve">CTH Z  </v>
      </c>
      <c r="K557" t="str">
        <f>CLEAN("OUTAGAMIE                     ")</f>
        <v xml:space="preserve">OUTAGAMIE                     </v>
      </c>
      <c r="L557" t="str">
        <f>CLEAN("BUCHANAN - EAST COUNTY LINE        ")</f>
        <v xml:space="preserve">BUCHANAN - EAST COUNTY LINE        </v>
      </c>
      <c r="M557" t="str">
        <f>CLEAN("CTH ZZ TO OUTAGAMIE ROAD           ")</f>
        <v xml:space="preserve">CTH ZZ TO OUTAGAMIE ROAD           </v>
      </c>
      <c r="N557">
        <v>2.5099999999999998</v>
      </c>
      <c r="O557" t="str">
        <f t="shared" si="174"/>
        <v xml:space="preserve">          </v>
      </c>
      <c r="P557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58" spans="1:16" x14ac:dyDescent="0.25">
      <c r="A558" t="str">
        <f t="shared" si="163"/>
        <v>10</v>
      </c>
      <c r="B558" t="str">
        <f>CLEAN("21")</f>
        <v>21</v>
      </c>
      <c r="C558" s="1">
        <v>45347</v>
      </c>
      <c r="D558" t="str">
        <f>CLEAN("4701-98-04")</f>
        <v>4701-98-04</v>
      </c>
      <c r="E558" t="str">
        <f t="shared" ref="E558:E583" si="175">CLEAN("305  ")</f>
        <v xml:space="preserve">305  </v>
      </c>
      <c r="F558" t="str">
        <f>CLEAN("$250,000 - $499,999      ")</f>
        <v xml:space="preserve">$250,000 - $499,999      </v>
      </c>
      <c r="G558" t="str">
        <f t="shared" ref="G558:G583" si="176">CLEAN("MIS")</f>
        <v>MIS</v>
      </c>
      <c r="H558" t="str">
        <f t="shared" ref="H558:H583" si="177">CLEAN("NONLET CONSTR/REAL ESTATE")</f>
        <v>NONLET CONSTR/REAL ESTATE</v>
      </c>
      <c r="I558" t="str">
        <f>CLEAN("TRF OPS/PAVEMENT MARKING TMAS CY24 ")</f>
        <v xml:space="preserve">TRF OPS/PAVEMENT MARKING TMAS CY24 </v>
      </c>
      <c r="J558" t="str">
        <f t="shared" ref="J558:J583" si="178">CLEAN("VAR HWY")</f>
        <v>VAR HWY</v>
      </c>
      <c r="K558" t="str">
        <f>CLEAN("ADAMS                         ")</f>
        <v xml:space="preserve">ADAMS                         </v>
      </c>
      <c r="L558" t="str">
        <f>CLEAN("ADAMS COUNTY PAVEMENT MARKING      ")</f>
        <v xml:space="preserve">ADAMS COUNTY PAVEMENT MARKING      </v>
      </c>
      <c r="M558" t="str">
        <f>CLEAN("LOCATIONS ON STH PER ANNUAL PLAN   ")</f>
        <v xml:space="preserve">LOCATIONS ON STH PER ANNUAL PLAN   </v>
      </c>
      <c r="N558">
        <v>0</v>
      </c>
      <c r="O558" t="str">
        <f t="shared" si="174"/>
        <v xml:space="preserve">          </v>
      </c>
      <c r="P558" t="str">
        <f t="shared" ref="P558:P583" si="179"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559" spans="1:16" x14ac:dyDescent="0.25">
      <c r="A559" t="str">
        <f t="shared" si="163"/>
        <v>10</v>
      </c>
      <c r="B559" t="str">
        <f>CLEAN("24")</f>
        <v>24</v>
      </c>
      <c r="C559" s="1">
        <v>45347</v>
      </c>
      <c r="D559" t="str">
        <f>CLEAN("4701-99-04")</f>
        <v>4701-99-04</v>
      </c>
      <c r="E559" t="str">
        <f t="shared" si="175"/>
        <v xml:space="preserve">305  </v>
      </c>
      <c r="F559" t="str">
        <f>CLEAN("$250,000 - $499,999      ")</f>
        <v xml:space="preserve">$250,000 - $499,999      </v>
      </c>
      <c r="G559" t="str">
        <f t="shared" si="176"/>
        <v>MIS</v>
      </c>
      <c r="H559" t="str">
        <f t="shared" si="177"/>
        <v>NONLET CONSTR/REAL ESTATE</v>
      </c>
      <c r="I559" t="str">
        <f>CLEAN("TRF OPS-PAVEMENT MARKING TMAS CY24 ")</f>
        <v xml:space="preserve">TRF OPS-PAVEMENT MARKING TMAS CY24 </v>
      </c>
      <c r="J559" t="str">
        <f t="shared" si="178"/>
        <v>VAR HWY</v>
      </c>
      <c r="K559" t="str">
        <f>CLEAN("ADAMS                         ")</f>
        <v xml:space="preserve">ADAMS                         </v>
      </c>
      <c r="L559" t="str">
        <f>CLEAN("ADAMS CO PAVEMENT MARKING TMA'S    ")</f>
        <v xml:space="preserve">ADAMS CO PAVEMENT MARKING TMA'S    </v>
      </c>
      <c r="M559" t="str">
        <f>CLEAN("LOCATIONS ON STN PER ANNUAL PLAN   ")</f>
        <v xml:space="preserve">LOCATIONS ON STN PER ANNUAL PLAN   </v>
      </c>
      <c r="N559">
        <v>0</v>
      </c>
      <c r="O559" t="str">
        <f t="shared" si="174"/>
        <v xml:space="preserve">          </v>
      </c>
      <c r="P559" t="str">
        <f t="shared" si="179"/>
        <v xml:space="preserve">STATE HIGHWAY OPERATIONS PROGRAM                                                                    </v>
      </c>
    </row>
    <row r="560" spans="1:16" x14ac:dyDescent="0.25">
      <c r="A560" t="str">
        <f t="shared" si="163"/>
        <v>10</v>
      </c>
      <c r="B560" t="str">
        <f>CLEAN("23")</f>
        <v>23</v>
      </c>
      <c r="C560" s="1">
        <v>45376</v>
      </c>
      <c r="D560" t="str">
        <f>CLEAN("4705-98-24")</f>
        <v>4705-98-24</v>
      </c>
      <c r="E560" t="str">
        <f t="shared" si="175"/>
        <v xml:space="preserve">305  </v>
      </c>
      <c r="F560" t="str">
        <f>CLEAN("$0 - $99,999             ")</f>
        <v xml:space="preserve">$0 - $99,999             </v>
      </c>
      <c r="G560" t="str">
        <f t="shared" si="176"/>
        <v>MIS</v>
      </c>
      <c r="H560" t="str">
        <f t="shared" si="177"/>
        <v>NONLET CONSTR/REAL ESTATE</v>
      </c>
      <c r="I560" t="str">
        <f>CLEAN("TRF OPS- PAVEMENT MARKING TMAS CY24")</f>
        <v>TRF OPS- PAVEMENT MARKING TMAS CY24</v>
      </c>
      <c r="J560" t="str">
        <f t="shared" si="178"/>
        <v>VAR HWY</v>
      </c>
      <c r="K560" t="str">
        <f>CLEAN("BROWN                         ")</f>
        <v xml:space="preserve">BROWN                         </v>
      </c>
      <c r="L560" t="str">
        <f>CLEAN("BROWN COUNTY PAVEMENT MARKING 2024 ")</f>
        <v xml:space="preserve">BROWN COUNTY PAVEMENT MARKING 2024 </v>
      </c>
      <c r="M560" t="str">
        <f>CLEAN("LOCATIONS ON STN PER ANNUAL PLAN   ")</f>
        <v xml:space="preserve">LOCATIONS ON STN PER ANNUAL PLAN   </v>
      </c>
      <c r="N560">
        <v>0</v>
      </c>
      <c r="O560" t="str">
        <f t="shared" si="174"/>
        <v xml:space="preserve">          </v>
      </c>
      <c r="P560" t="str">
        <f t="shared" si="179"/>
        <v xml:space="preserve">STATE HIGHWAY OPERATIONS PROGRAM                                                                    </v>
      </c>
    </row>
    <row r="561" spans="1:16" x14ac:dyDescent="0.25">
      <c r="A561" t="str">
        <f t="shared" si="163"/>
        <v>10</v>
      </c>
      <c r="B561" t="str">
        <f>CLEAN("23")</f>
        <v>23</v>
      </c>
      <c r="C561" s="1">
        <v>45347</v>
      </c>
      <c r="D561" t="str">
        <f>CLEAN("4708-98-24")</f>
        <v>4708-98-24</v>
      </c>
      <c r="E561" t="str">
        <f t="shared" si="175"/>
        <v xml:space="preserve">305  </v>
      </c>
      <c r="F561" t="str">
        <f>CLEAN("$0 - $99,999             ")</f>
        <v xml:space="preserve">$0 - $99,999             </v>
      </c>
      <c r="G561" t="str">
        <f t="shared" si="176"/>
        <v>MIS</v>
      </c>
      <c r="H561" t="str">
        <f t="shared" si="177"/>
        <v>NONLET CONSTR/REAL ESTATE</v>
      </c>
      <c r="I561" t="str">
        <f>CLEAN("TRF OPS- PAVEMENT MARKING TMAS CY24")</f>
        <v>TRF OPS- PAVEMENT MARKING TMAS CY24</v>
      </c>
      <c r="J561" t="str">
        <f t="shared" si="178"/>
        <v>VAR HWY</v>
      </c>
      <c r="K561" t="str">
        <f>CLEAN("CALUMET                       ")</f>
        <v xml:space="preserve">CALUMET                       </v>
      </c>
      <c r="L561" t="str">
        <f>CLEAN("CALUMET COUNTY PAVEMENT MARKING    ")</f>
        <v xml:space="preserve">CALUMET COUNTY PAVEMENT MARKING    </v>
      </c>
      <c r="M561" t="str">
        <f>CLEAN("LOCATIONS ON STN PER ANNUAL PLAN   ")</f>
        <v xml:space="preserve">LOCATIONS ON STN PER ANNUAL PLAN   </v>
      </c>
      <c r="N561">
        <v>0</v>
      </c>
      <c r="O561" t="str">
        <f t="shared" si="174"/>
        <v xml:space="preserve">          </v>
      </c>
      <c r="P561" t="str">
        <f t="shared" si="179"/>
        <v xml:space="preserve">STATE HIGHWAY OPERATIONS PROGRAM                                                                    </v>
      </c>
    </row>
    <row r="562" spans="1:16" x14ac:dyDescent="0.25">
      <c r="A562" t="str">
        <f t="shared" si="163"/>
        <v>10</v>
      </c>
      <c r="B562" t="str">
        <f>CLEAN("21")</f>
        <v>21</v>
      </c>
      <c r="C562" s="1">
        <v>45347</v>
      </c>
      <c r="D562" t="str">
        <f>CLEAN("4713-98-24")</f>
        <v>4713-98-24</v>
      </c>
      <c r="E562" t="str">
        <f t="shared" si="175"/>
        <v xml:space="preserve">305  </v>
      </c>
      <c r="F562" t="str">
        <f>CLEAN("$500,000 - $749,999      ")</f>
        <v xml:space="preserve">$500,000 - $749,999      </v>
      </c>
      <c r="G562" t="str">
        <f t="shared" si="176"/>
        <v>MIS</v>
      </c>
      <c r="H562" t="str">
        <f t="shared" si="177"/>
        <v>NONLET CONSTR/REAL ESTATE</v>
      </c>
      <c r="I562" t="str">
        <f>CLEAN("TRF OPS/PAVEMENT MARKING TMAS CY24 ")</f>
        <v xml:space="preserve">TRF OPS/PAVEMENT MARKING TMAS CY24 </v>
      </c>
      <c r="J562" t="str">
        <f t="shared" si="178"/>
        <v>VAR HWY</v>
      </c>
      <c r="K562" t="str">
        <f>CLEAN("DANE                          ")</f>
        <v xml:space="preserve">DANE                          </v>
      </c>
      <c r="L562" t="str">
        <f>CLEAN("DANE COUNTY PAVEMENT MARKING       ")</f>
        <v xml:space="preserve">DANE COUNTY PAVEMENT MARKING       </v>
      </c>
      <c r="M562" t="str">
        <f>CLEAN("LOCATIONS ON STH PER ANNUAL PLAN   ")</f>
        <v xml:space="preserve">LOCATIONS ON STH PER ANNUAL PLAN   </v>
      </c>
      <c r="N562">
        <v>0</v>
      </c>
      <c r="O562" t="str">
        <f t="shared" si="174"/>
        <v xml:space="preserve">          </v>
      </c>
      <c r="P562" t="str">
        <f t="shared" si="179"/>
        <v xml:space="preserve">STATE HIGHWAY OPERATIONS PROGRAM                                                                    </v>
      </c>
    </row>
    <row r="563" spans="1:16" x14ac:dyDescent="0.25">
      <c r="A563" t="str">
        <f t="shared" si="163"/>
        <v>10</v>
      </c>
      <c r="B563" t="str">
        <f>CLEAN("21")</f>
        <v>21</v>
      </c>
      <c r="C563" s="1">
        <v>45347</v>
      </c>
      <c r="D563" t="str">
        <f>CLEAN("4714-98-24")</f>
        <v>4714-98-24</v>
      </c>
      <c r="E563" t="str">
        <f t="shared" si="175"/>
        <v xml:space="preserve">305  </v>
      </c>
      <c r="F563" t="str">
        <f>CLEAN("$250,000 - $499,999      ")</f>
        <v xml:space="preserve">$250,000 - $499,999      </v>
      </c>
      <c r="G563" t="str">
        <f t="shared" si="176"/>
        <v>MIS</v>
      </c>
      <c r="H563" t="str">
        <f t="shared" si="177"/>
        <v>NONLET CONSTR/REAL ESTATE</v>
      </c>
      <c r="I563" t="str">
        <f>CLEAN("TRF OPS/PAVEMENT MARKING TMAS CY24 ")</f>
        <v xml:space="preserve">TRF OPS/PAVEMENT MARKING TMAS CY24 </v>
      </c>
      <c r="J563" t="str">
        <f t="shared" si="178"/>
        <v>VAR HWY</v>
      </c>
      <c r="K563" t="str">
        <f>CLEAN("DODGE                         ")</f>
        <v xml:space="preserve">DODGE                         </v>
      </c>
      <c r="L563" t="str">
        <f>CLEAN("DODGE COUNTY PAVEMENT MARKING      ")</f>
        <v xml:space="preserve">DODGE COUNTY PAVEMENT MARKING      </v>
      </c>
      <c r="M563" t="str">
        <f>CLEAN("LOCATIONS ON STH PER ANNUAL PLAN   ")</f>
        <v xml:space="preserve">LOCATIONS ON STH PER ANNUAL PLAN   </v>
      </c>
      <c r="N563">
        <v>0</v>
      </c>
      <c r="O563" t="str">
        <f t="shared" si="174"/>
        <v xml:space="preserve">          </v>
      </c>
      <c r="P563" t="str">
        <f t="shared" si="179"/>
        <v xml:space="preserve">STATE HIGHWAY OPERATIONS PROGRAM                                                                    </v>
      </c>
    </row>
    <row r="564" spans="1:16" x14ac:dyDescent="0.25">
      <c r="A564" t="str">
        <f t="shared" si="163"/>
        <v>10</v>
      </c>
      <c r="B564" t="str">
        <f>CLEAN("23")</f>
        <v>23</v>
      </c>
      <c r="C564" s="1">
        <v>45347</v>
      </c>
      <c r="D564" t="str">
        <f>CLEAN("4720-98-24")</f>
        <v>4720-98-24</v>
      </c>
      <c r="E564" t="str">
        <f t="shared" si="175"/>
        <v xml:space="preserve">305  </v>
      </c>
      <c r="F564" t="str">
        <f>CLEAN("$100,000-$249,999        ")</f>
        <v xml:space="preserve">$100,000-$249,999        </v>
      </c>
      <c r="G564" t="str">
        <f t="shared" si="176"/>
        <v>MIS</v>
      </c>
      <c r="H564" t="str">
        <f t="shared" si="177"/>
        <v>NONLET CONSTR/REAL ESTATE</v>
      </c>
      <c r="I564" t="str">
        <f>CLEAN("TRF OPS- PAVEMENT MARKING TMAS CY24")</f>
        <v>TRF OPS- PAVEMENT MARKING TMAS CY24</v>
      </c>
      <c r="J564" t="str">
        <f t="shared" si="178"/>
        <v>VAR HWY</v>
      </c>
      <c r="K564" t="str">
        <f>CLEAN("FOND DU LAC                   ")</f>
        <v xml:space="preserve">FOND DU LAC                   </v>
      </c>
      <c r="L564" t="str">
        <f>CLEAN("FOND DU LAC COUNTY PAVEMENT MARKING")</f>
        <v>FOND DU LAC COUNTY PAVEMENT MARKING</v>
      </c>
      <c r="M564" t="str">
        <f>CLEAN("LOCATIONS ON STN PER ANNUAL PLAN   ")</f>
        <v xml:space="preserve">LOCATIONS ON STN PER ANNUAL PLAN   </v>
      </c>
      <c r="N564">
        <v>0</v>
      </c>
      <c r="O564" t="str">
        <f t="shared" si="174"/>
        <v xml:space="preserve">          </v>
      </c>
      <c r="P564" t="str">
        <f t="shared" si="179"/>
        <v xml:space="preserve">STATE HIGHWAY OPERATIONS PROGRAM                                                                    </v>
      </c>
    </row>
    <row r="565" spans="1:16" x14ac:dyDescent="0.25">
      <c r="A565" t="str">
        <f t="shared" si="163"/>
        <v>10</v>
      </c>
      <c r="B565" t="str">
        <f>CLEAN("21")</f>
        <v>21</v>
      </c>
      <c r="C565" s="1">
        <v>45347</v>
      </c>
      <c r="D565" t="str">
        <f>CLEAN("4725-98-24")</f>
        <v>4725-98-24</v>
      </c>
      <c r="E565" t="str">
        <f t="shared" si="175"/>
        <v xml:space="preserve">305  </v>
      </c>
      <c r="F565" t="str">
        <f>CLEAN("$500,000 - $749,999      ")</f>
        <v xml:space="preserve">$500,000 - $749,999      </v>
      </c>
      <c r="G565" t="str">
        <f t="shared" si="176"/>
        <v>MIS</v>
      </c>
      <c r="H565" t="str">
        <f t="shared" si="177"/>
        <v>NONLET CONSTR/REAL ESTATE</v>
      </c>
      <c r="I565" t="str">
        <f>CLEAN("TRF OPS/PAVEMENT MARKING TMAS CY24 ")</f>
        <v xml:space="preserve">TRF OPS/PAVEMENT MARKING TMAS CY24 </v>
      </c>
      <c r="J565" t="str">
        <f t="shared" si="178"/>
        <v>VAR HWY</v>
      </c>
      <c r="K565" t="str">
        <f>CLEAN("IOWA                          ")</f>
        <v xml:space="preserve">IOWA                          </v>
      </c>
      <c r="L565" t="str">
        <f>CLEAN("IOWA COUNTY PAVEMENT MARKING       ")</f>
        <v xml:space="preserve">IOWA COUNTY PAVEMENT MARKING       </v>
      </c>
      <c r="M565" t="str">
        <f>CLEAN("LOCATIONS ON STH PER ANNUAL PLAN   ")</f>
        <v xml:space="preserve">LOCATIONS ON STH PER ANNUAL PLAN   </v>
      </c>
      <c r="N565">
        <v>0</v>
      </c>
      <c r="O565" t="str">
        <f t="shared" si="174"/>
        <v xml:space="preserve">          </v>
      </c>
      <c r="P565" t="str">
        <f t="shared" si="179"/>
        <v xml:space="preserve">STATE HIGHWAY OPERATIONS PROGRAM                                                                    </v>
      </c>
    </row>
    <row r="566" spans="1:16" x14ac:dyDescent="0.25">
      <c r="A566" t="str">
        <f t="shared" si="163"/>
        <v>10</v>
      </c>
      <c r="B566" t="str">
        <f>CLEAN("24")</f>
        <v>24</v>
      </c>
      <c r="C566" s="1">
        <v>45347</v>
      </c>
      <c r="D566" t="str">
        <f>CLEAN("4726-98-24")</f>
        <v>4726-98-24</v>
      </c>
      <c r="E566" t="str">
        <f t="shared" si="175"/>
        <v xml:space="preserve">305  </v>
      </c>
      <c r="F566" t="str">
        <f>CLEAN("$100,000-$249,999        ")</f>
        <v xml:space="preserve">$100,000-$249,999        </v>
      </c>
      <c r="G566" t="str">
        <f t="shared" si="176"/>
        <v>MIS</v>
      </c>
      <c r="H566" t="str">
        <f t="shared" si="177"/>
        <v>NONLET CONSTR/REAL ESTATE</v>
      </c>
      <c r="I566" t="str">
        <f>CLEAN("TRF OPS-PAVEMENT MARKING TMAS CY24 ")</f>
        <v xml:space="preserve">TRF OPS-PAVEMENT MARKING TMAS CY24 </v>
      </c>
      <c r="J566" t="str">
        <f t="shared" si="178"/>
        <v>VAR HWY</v>
      </c>
      <c r="K566" t="str">
        <f>CLEAN("IRON                          ")</f>
        <v xml:space="preserve">IRON                          </v>
      </c>
      <c r="L566" t="str">
        <f>CLEAN("IRON CO PAVEMENT MARKING TMA'S     ")</f>
        <v xml:space="preserve">IRON CO PAVEMENT MARKING TMA'S     </v>
      </c>
      <c r="M566" t="str">
        <f t="shared" ref="M566:M575" si="180">CLEAN("LOCATIONS ON STN PER ANNUAL PLAN   ")</f>
        <v xml:space="preserve">LOCATIONS ON STN PER ANNUAL PLAN   </v>
      </c>
      <c r="N566">
        <v>0</v>
      </c>
      <c r="O566" t="str">
        <f t="shared" si="174"/>
        <v xml:space="preserve">          </v>
      </c>
      <c r="P566" t="str">
        <f t="shared" si="179"/>
        <v xml:space="preserve">STATE HIGHWAY OPERATIONS PROGRAM                                                                    </v>
      </c>
    </row>
    <row r="567" spans="1:16" x14ac:dyDescent="0.25">
      <c r="A567" t="str">
        <f t="shared" si="163"/>
        <v>10</v>
      </c>
      <c r="B567" t="str">
        <f>CLEAN("23")</f>
        <v>23</v>
      </c>
      <c r="C567" s="1">
        <v>45376</v>
      </c>
      <c r="D567" t="str">
        <f>CLEAN("4731-98-24")</f>
        <v>4731-98-24</v>
      </c>
      <c r="E567" t="str">
        <f t="shared" si="175"/>
        <v xml:space="preserve">305  </v>
      </c>
      <c r="F567" t="str">
        <f>CLEAN("$0 - $99,999             ")</f>
        <v xml:space="preserve">$0 - $99,999             </v>
      </c>
      <c r="G567" t="str">
        <f t="shared" si="176"/>
        <v>MIS</v>
      </c>
      <c r="H567" t="str">
        <f t="shared" si="177"/>
        <v>NONLET CONSTR/REAL ESTATE</v>
      </c>
      <c r="I567" t="str">
        <f>CLEAN("TRF OPS- PAVEMENT MARKING TMAS CY24")</f>
        <v>TRF OPS- PAVEMENT MARKING TMAS CY24</v>
      </c>
      <c r="J567" t="str">
        <f t="shared" si="178"/>
        <v>VAR HWY</v>
      </c>
      <c r="K567" t="str">
        <f>CLEAN("KEWAUNEE                      ")</f>
        <v xml:space="preserve">KEWAUNEE                      </v>
      </c>
      <c r="L567" t="str">
        <f>CLEAN("KEWAUNEE COUNTY PAVEMENT MARKING   ")</f>
        <v xml:space="preserve">KEWAUNEE COUNTY PAVEMENT MARKING   </v>
      </c>
      <c r="M567" t="str">
        <f t="shared" si="180"/>
        <v xml:space="preserve">LOCATIONS ON STN PER ANNUAL PLAN   </v>
      </c>
      <c r="N567">
        <v>0</v>
      </c>
      <c r="O567" t="str">
        <f t="shared" si="174"/>
        <v xml:space="preserve">          </v>
      </c>
      <c r="P567" t="str">
        <f t="shared" si="179"/>
        <v xml:space="preserve">STATE HIGHWAY OPERATIONS PROGRAM                                                                    </v>
      </c>
    </row>
    <row r="568" spans="1:16" x14ac:dyDescent="0.25">
      <c r="A568" t="str">
        <f t="shared" ref="A568:A631" si="181">CLEAN("10")</f>
        <v>10</v>
      </c>
      <c r="B568" t="str">
        <f>CLEAN("24")</f>
        <v>24</v>
      </c>
      <c r="C568" s="1">
        <v>45347</v>
      </c>
      <c r="D568" t="str">
        <f>CLEAN("4734-98-24")</f>
        <v>4734-98-24</v>
      </c>
      <c r="E568" t="str">
        <f t="shared" si="175"/>
        <v xml:space="preserve">305  </v>
      </c>
      <c r="F568" t="str">
        <f>CLEAN("$750,000 - $999,999      ")</f>
        <v xml:space="preserve">$750,000 - $999,999      </v>
      </c>
      <c r="G568" t="str">
        <f t="shared" si="176"/>
        <v>MIS</v>
      </c>
      <c r="H568" t="str">
        <f t="shared" si="177"/>
        <v>NONLET CONSTR/REAL ESTATE</v>
      </c>
      <c r="I568" t="str">
        <f>CLEAN("TRF OPS-PAVEMENT MARKING TMAS CY24 ")</f>
        <v xml:space="preserve">TRF OPS-PAVEMENT MARKING TMAS CY24 </v>
      </c>
      <c r="J568" t="str">
        <f t="shared" si="178"/>
        <v>VAR HWY</v>
      </c>
      <c r="K568" t="str">
        <f>CLEAN("LANGLADE                      ")</f>
        <v xml:space="preserve">LANGLADE                      </v>
      </c>
      <c r="L568" t="str">
        <f>CLEAN("LANGLADE CO PAVEMENT MARKING TMA'S ")</f>
        <v xml:space="preserve">LANGLADE CO PAVEMENT MARKING TMA'S </v>
      </c>
      <c r="M568" t="str">
        <f t="shared" si="180"/>
        <v xml:space="preserve">LOCATIONS ON STN PER ANNUAL PLAN   </v>
      </c>
      <c r="N568">
        <v>0</v>
      </c>
      <c r="O568" t="str">
        <f t="shared" si="174"/>
        <v xml:space="preserve">          </v>
      </c>
      <c r="P568" t="str">
        <f t="shared" si="179"/>
        <v xml:space="preserve">STATE HIGHWAY OPERATIONS PROGRAM                                                                    </v>
      </c>
    </row>
    <row r="569" spans="1:16" x14ac:dyDescent="0.25">
      <c r="A569" t="str">
        <f t="shared" si="181"/>
        <v>10</v>
      </c>
      <c r="B569" t="str">
        <f>CLEAN("23")</f>
        <v>23</v>
      </c>
      <c r="C569" s="1">
        <v>45376</v>
      </c>
      <c r="D569" t="str">
        <f>CLEAN("4738-98-24")</f>
        <v>4738-98-24</v>
      </c>
      <c r="E569" t="str">
        <f t="shared" si="175"/>
        <v xml:space="preserve">305  </v>
      </c>
      <c r="F569" t="str">
        <f>CLEAN("$0 - $99,999             ")</f>
        <v xml:space="preserve">$0 - $99,999             </v>
      </c>
      <c r="G569" t="str">
        <f t="shared" si="176"/>
        <v>MIS</v>
      </c>
      <c r="H569" t="str">
        <f t="shared" si="177"/>
        <v>NONLET CONSTR/REAL ESTATE</v>
      </c>
      <c r="I569" t="str">
        <f>CLEAN("TRF OPS- PAVEMENT MARKING TMAS CY24")</f>
        <v>TRF OPS- PAVEMENT MARKING TMAS CY24</v>
      </c>
      <c r="J569" t="str">
        <f t="shared" si="178"/>
        <v>VAR HWY</v>
      </c>
      <c r="K569" t="str">
        <f>CLEAN("MARINETTE                     ")</f>
        <v xml:space="preserve">MARINETTE                     </v>
      </c>
      <c r="L569" t="str">
        <f>CLEAN("MARINETTE COUNTY PAVEMENT MARKING  ")</f>
        <v xml:space="preserve">MARINETTE COUNTY PAVEMENT MARKING  </v>
      </c>
      <c r="M569" t="str">
        <f t="shared" si="180"/>
        <v xml:space="preserve">LOCATIONS ON STN PER ANNUAL PLAN   </v>
      </c>
      <c r="N569">
        <v>0</v>
      </c>
      <c r="O569" t="str">
        <f t="shared" si="174"/>
        <v xml:space="preserve">          </v>
      </c>
      <c r="P569" t="str">
        <f t="shared" si="179"/>
        <v xml:space="preserve">STATE HIGHWAY OPERATIONS PROGRAM                                                                    </v>
      </c>
    </row>
    <row r="570" spans="1:16" x14ac:dyDescent="0.25">
      <c r="A570" t="str">
        <f t="shared" si="181"/>
        <v>10</v>
      </c>
      <c r="B570" t="str">
        <f>CLEAN("22")</f>
        <v>22</v>
      </c>
      <c r="C570" s="1">
        <v>45316</v>
      </c>
      <c r="D570" t="str">
        <f>CLEAN("4740-98-24")</f>
        <v>4740-98-24</v>
      </c>
      <c r="E570" t="str">
        <f t="shared" si="175"/>
        <v xml:space="preserve">305  </v>
      </c>
      <c r="F570" t="str">
        <f>CLEAN("$100,000-$249,999        ")</f>
        <v xml:space="preserve">$100,000-$249,999        </v>
      </c>
      <c r="G570" t="str">
        <f t="shared" si="176"/>
        <v>MIS</v>
      </c>
      <c r="H570" t="str">
        <f t="shared" si="177"/>
        <v>NONLET CONSTR/REAL ESTATE</v>
      </c>
      <c r="I570" t="str">
        <f>CLEAN("TRF OPS/PAVEMENT MARKINGS TMAS CY24")</f>
        <v>TRF OPS/PAVEMENT MARKINGS TMAS CY24</v>
      </c>
      <c r="J570" t="str">
        <f t="shared" si="178"/>
        <v>VAR HWY</v>
      </c>
      <c r="K570" t="str">
        <f>CLEAN("MILWAUKEE                     ")</f>
        <v xml:space="preserve">MILWAUKEE                     </v>
      </c>
      <c r="L570" t="str">
        <f>CLEAN("MILWAUKEE COUNTY PAVEMENT MARKING  ")</f>
        <v xml:space="preserve">MILWAUKEE COUNTY PAVEMENT MARKING  </v>
      </c>
      <c r="M570" t="str">
        <f t="shared" si="180"/>
        <v xml:space="preserve">LOCATIONS ON STN PER ANNUAL PLAN   </v>
      </c>
      <c r="N570">
        <v>0</v>
      </c>
      <c r="O570" t="str">
        <f t="shared" si="174"/>
        <v xml:space="preserve">          </v>
      </c>
      <c r="P570" t="str">
        <f t="shared" si="179"/>
        <v xml:space="preserve">STATE HIGHWAY OPERATIONS PROGRAM                                                                    </v>
      </c>
    </row>
    <row r="571" spans="1:16" x14ac:dyDescent="0.25">
      <c r="A571" t="str">
        <f t="shared" si="181"/>
        <v>10</v>
      </c>
      <c r="B571" t="str">
        <f>CLEAN("22")</f>
        <v>22</v>
      </c>
      <c r="C571" s="1">
        <v>45316</v>
      </c>
      <c r="D571" t="str">
        <f>CLEAN("4745-98-24")</f>
        <v>4745-98-24</v>
      </c>
      <c r="E571" t="str">
        <f t="shared" si="175"/>
        <v xml:space="preserve">305  </v>
      </c>
      <c r="F571" t="str">
        <f>CLEAN("$0 - $99,999             ")</f>
        <v xml:space="preserve">$0 - $99,999             </v>
      </c>
      <c r="G571" t="str">
        <f t="shared" si="176"/>
        <v>MIS</v>
      </c>
      <c r="H571" t="str">
        <f t="shared" si="177"/>
        <v>NONLET CONSTR/REAL ESTATE</v>
      </c>
      <c r="I571" t="str">
        <f>CLEAN("TRF OPS/PAVEMENT MARKING TMAS CY24 ")</f>
        <v xml:space="preserve">TRF OPS/PAVEMENT MARKING TMAS CY24 </v>
      </c>
      <c r="J571" t="str">
        <f t="shared" si="178"/>
        <v>VAR HWY</v>
      </c>
      <c r="K571" t="str">
        <f>CLEAN("OZAUKEE                       ")</f>
        <v xml:space="preserve">OZAUKEE                       </v>
      </c>
      <c r="L571" t="str">
        <f>CLEAN("OZAUKEE COUNTY PAVEMENT MARKING    ")</f>
        <v xml:space="preserve">OZAUKEE COUNTY PAVEMENT MARKING    </v>
      </c>
      <c r="M571" t="str">
        <f t="shared" si="180"/>
        <v xml:space="preserve">LOCATIONS ON STN PER ANNUAL PLAN   </v>
      </c>
      <c r="N571">
        <v>0</v>
      </c>
      <c r="O571" t="str">
        <f t="shared" si="174"/>
        <v xml:space="preserve">          </v>
      </c>
      <c r="P571" t="str">
        <f t="shared" si="179"/>
        <v xml:space="preserve">STATE HIGHWAY OPERATIONS PROGRAM                                                                    </v>
      </c>
    </row>
    <row r="572" spans="1:16" x14ac:dyDescent="0.25">
      <c r="A572" t="str">
        <f t="shared" si="181"/>
        <v>10</v>
      </c>
      <c r="B572" t="str">
        <f>CLEAN("24")</f>
        <v>24</v>
      </c>
      <c r="C572" s="1">
        <v>45347</v>
      </c>
      <c r="D572" t="str">
        <f>CLEAN("4749-98-24")</f>
        <v>4749-98-24</v>
      </c>
      <c r="E572" t="str">
        <f t="shared" si="175"/>
        <v xml:space="preserve">305  </v>
      </c>
      <c r="F572" t="str">
        <f>CLEAN("$250,000 - $499,999      ")</f>
        <v xml:space="preserve">$250,000 - $499,999      </v>
      </c>
      <c r="G572" t="str">
        <f t="shared" si="176"/>
        <v>MIS</v>
      </c>
      <c r="H572" t="str">
        <f t="shared" si="177"/>
        <v>NONLET CONSTR/REAL ESTATE</v>
      </c>
      <c r="I572" t="str">
        <f>CLEAN("TRF OPS-PAVEMENT MARKING TMAS CY24 ")</f>
        <v xml:space="preserve">TRF OPS-PAVEMENT MARKING TMAS CY24 </v>
      </c>
      <c r="J572" t="str">
        <f t="shared" si="178"/>
        <v>VAR HWY</v>
      </c>
      <c r="K572" t="str">
        <f>CLEAN("PORTAGE                       ")</f>
        <v xml:space="preserve">PORTAGE                       </v>
      </c>
      <c r="L572" t="str">
        <f>CLEAN("PORTAGE CO PAVEMENT MARKING TMA'S  ")</f>
        <v xml:space="preserve">PORTAGE CO PAVEMENT MARKING TMA'S  </v>
      </c>
      <c r="M572" t="str">
        <f t="shared" si="180"/>
        <v xml:space="preserve">LOCATIONS ON STN PER ANNUAL PLAN   </v>
      </c>
      <c r="N572">
        <v>0</v>
      </c>
      <c r="O572" t="str">
        <f t="shared" si="174"/>
        <v xml:space="preserve">          </v>
      </c>
      <c r="P572" t="str">
        <f t="shared" si="179"/>
        <v xml:space="preserve">STATE HIGHWAY OPERATIONS PROGRAM                                                                    </v>
      </c>
    </row>
    <row r="573" spans="1:16" x14ac:dyDescent="0.25">
      <c r="A573" t="str">
        <f t="shared" si="181"/>
        <v>10</v>
      </c>
      <c r="B573" t="str">
        <f>CLEAN("22")</f>
        <v>22</v>
      </c>
      <c r="C573" s="1">
        <v>45316</v>
      </c>
      <c r="D573" t="str">
        <f>CLEAN("4751-98-24")</f>
        <v>4751-98-24</v>
      </c>
      <c r="E573" t="str">
        <f t="shared" si="175"/>
        <v xml:space="preserve">305  </v>
      </c>
      <c r="F573" t="str">
        <f>CLEAN("$100,000-$249,999        ")</f>
        <v xml:space="preserve">$100,000-$249,999        </v>
      </c>
      <c r="G573" t="str">
        <f t="shared" si="176"/>
        <v>MIS</v>
      </c>
      <c r="H573" t="str">
        <f t="shared" si="177"/>
        <v>NONLET CONSTR/REAL ESTATE</v>
      </c>
      <c r="I573" t="str">
        <f>CLEAN("TRF OPS/PAVEMENT MARKING TMAS CY24 ")</f>
        <v xml:space="preserve">TRF OPS/PAVEMENT MARKING TMAS CY24 </v>
      </c>
      <c r="J573" t="str">
        <f t="shared" si="178"/>
        <v>VAR HWY</v>
      </c>
      <c r="K573" t="str">
        <f>CLEAN("RACINE                        ")</f>
        <v xml:space="preserve">RACINE                        </v>
      </c>
      <c r="L573" t="str">
        <f>CLEAN("RACINE COUNTY PAVEMENT MARKING     ")</f>
        <v xml:space="preserve">RACINE COUNTY PAVEMENT MARKING     </v>
      </c>
      <c r="M573" t="str">
        <f t="shared" si="180"/>
        <v xml:space="preserve">LOCATIONS ON STN PER ANNUAL PLAN   </v>
      </c>
      <c r="N573">
        <v>0</v>
      </c>
      <c r="O573" t="str">
        <f t="shared" si="174"/>
        <v xml:space="preserve">          </v>
      </c>
      <c r="P573" t="str">
        <f t="shared" si="179"/>
        <v xml:space="preserve">STATE HIGHWAY OPERATIONS PROGRAM                                                                    </v>
      </c>
    </row>
    <row r="574" spans="1:16" x14ac:dyDescent="0.25">
      <c r="A574" t="str">
        <f t="shared" si="181"/>
        <v>10</v>
      </c>
      <c r="B574" t="str">
        <f>CLEAN("24")</f>
        <v>24</v>
      </c>
      <c r="C574" s="1">
        <v>45347</v>
      </c>
      <c r="D574" t="str">
        <f>CLEAN("4758-98-24")</f>
        <v>4758-98-24</v>
      </c>
      <c r="E574" t="str">
        <f t="shared" si="175"/>
        <v xml:space="preserve">305  </v>
      </c>
      <c r="F574" t="str">
        <f>CLEAN("$100,000-$249,999        ")</f>
        <v xml:space="preserve">$100,000-$249,999        </v>
      </c>
      <c r="G574" t="str">
        <f t="shared" si="176"/>
        <v>MIS</v>
      </c>
      <c r="H574" t="str">
        <f t="shared" si="177"/>
        <v>NONLET CONSTR/REAL ESTATE</v>
      </c>
      <c r="I574" t="str">
        <f>CLEAN("TRF OPS-PAVEMENT MARKING TMAS CY24 ")</f>
        <v xml:space="preserve">TRF OPS-PAVEMENT MARKING TMAS CY24 </v>
      </c>
      <c r="J574" t="str">
        <f t="shared" si="178"/>
        <v>VAR HWY</v>
      </c>
      <c r="K574" t="str">
        <f>CLEAN("SHAWANO                       ")</f>
        <v xml:space="preserve">SHAWANO                       </v>
      </c>
      <c r="L574" t="str">
        <f>CLEAN("SHAWANO CO PAVEMENT MARKING TMA'S  ")</f>
        <v xml:space="preserve">SHAWANO CO PAVEMENT MARKING TMA'S  </v>
      </c>
      <c r="M574" t="str">
        <f t="shared" si="180"/>
        <v xml:space="preserve">LOCATIONS ON STN PER ANNUAL PLAN   </v>
      </c>
      <c r="N574">
        <v>0</v>
      </c>
      <c r="O574" t="str">
        <f t="shared" si="174"/>
        <v xml:space="preserve">          </v>
      </c>
      <c r="P574" t="str">
        <f t="shared" si="179"/>
        <v xml:space="preserve">STATE HIGHWAY OPERATIONS PROGRAM                                                                    </v>
      </c>
    </row>
    <row r="575" spans="1:16" x14ac:dyDescent="0.25">
      <c r="A575" t="str">
        <f t="shared" si="181"/>
        <v>10</v>
      </c>
      <c r="B575" t="str">
        <f>CLEAN("23")</f>
        <v>23</v>
      </c>
      <c r="C575" s="1">
        <v>45347</v>
      </c>
      <c r="D575" t="str">
        <f>CLEAN("4759-98-24")</f>
        <v>4759-98-24</v>
      </c>
      <c r="E575" t="str">
        <f t="shared" si="175"/>
        <v xml:space="preserve">305  </v>
      </c>
      <c r="F575" t="str">
        <f>CLEAN("$100,000-$249,999        ")</f>
        <v xml:space="preserve">$100,000-$249,999        </v>
      </c>
      <c r="G575" t="str">
        <f t="shared" si="176"/>
        <v>MIS</v>
      </c>
      <c r="H575" t="str">
        <f t="shared" si="177"/>
        <v>NONLET CONSTR/REAL ESTATE</v>
      </c>
      <c r="I575" t="str">
        <f>CLEAN("TRF OPS- PAVEMENT MARKING TMAS CY24")</f>
        <v>TRF OPS- PAVEMENT MARKING TMAS CY24</v>
      </c>
      <c r="J575" t="str">
        <f t="shared" si="178"/>
        <v>VAR HWY</v>
      </c>
      <c r="K575" t="str">
        <f>CLEAN("SHEBOYGAN                     ")</f>
        <v xml:space="preserve">SHEBOYGAN                     </v>
      </c>
      <c r="L575" t="str">
        <f>CLEAN("SHEBOYGAN COUNTY PAVEMENT MARKING  ")</f>
        <v xml:space="preserve">SHEBOYGAN COUNTY PAVEMENT MARKING  </v>
      </c>
      <c r="M575" t="str">
        <f t="shared" si="180"/>
        <v xml:space="preserve">LOCATIONS ON STN PER ANNUAL PLAN   </v>
      </c>
      <c r="N575">
        <v>0</v>
      </c>
      <c r="O575" t="str">
        <f t="shared" si="174"/>
        <v xml:space="preserve">          </v>
      </c>
      <c r="P575" t="str">
        <f t="shared" si="179"/>
        <v xml:space="preserve">STATE HIGHWAY OPERATIONS PROGRAM                                                                    </v>
      </c>
    </row>
    <row r="576" spans="1:16" x14ac:dyDescent="0.25">
      <c r="A576" t="str">
        <f t="shared" si="181"/>
        <v>10</v>
      </c>
      <c r="B576" t="str">
        <f>CLEAN("25")</f>
        <v>25</v>
      </c>
      <c r="C576" s="1">
        <v>45347</v>
      </c>
      <c r="D576" t="str">
        <f>CLEAN("4760-98-24")</f>
        <v>4760-98-24</v>
      </c>
      <c r="E576" t="str">
        <f t="shared" si="175"/>
        <v xml:space="preserve">305  </v>
      </c>
      <c r="F576" t="str">
        <f>CLEAN("$750,000 - $999,999      ")</f>
        <v xml:space="preserve">$750,000 - $999,999      </v>
      </c>
      <c r="G576" t="str">
        <f t="shared" si="176"/>
        <v>MIS</v>
      </c>
      <c r="H576" t="str">
        <f t="shared" si="177"/>
        <v>NONLET CONSTR/REAL ESTATE</v>
      </c>
      <c r="I576" t="str">
        <f>CLEAN("TRF OPS- PAVEMENT MARKING TMAS CY24")</f>
        <v>TRF OPS- PAVEMENT MARKING TMAS CY24</v>
      </c>
      <c r="J576" t="str">
        <f t="shared" si="178"/>
        <v>VAR HWY</v>
      </c>
      <c r="K576" t="str">
        <f>CLEAN("TAYLOR                        ")</f>
        <v xml:space="preserve">TAYLOR                        </v>
      </c>
      <c r="L576" t="str">
        <f>CLEAN("TAYLOR COUNTY PAVEMENT MARKING     ")</f>
        <v xml:space="preserve">TAYLOR COUNTY PAVEMENT MARKING     </v>
      </c>
      <c r="M576" t="str">
        <f>CLEAN("LOCATIONS ON STH PER ANNUAL PLAN   ")</f>
        <v xml:space="preserve">LOCATIONS ON STH PER ANNUAL PLAN   </v>
      </c>
      <c r="N576">
        <v>0</v>
      </c>
      <c r="O576" t="str">
        <f t="shared" si="174"/>
        <v xml:space="preserve">          </v>
      </c>
      <c r="P576" t="str">
        <f t="shared" si="179"/>
        <v xml:space="preserve">STATE HIGHWAY OPERATIONS PROGRAM                                                                    </v>
      </c>
    </row>
    <row r="577" spans="1:16" x14ac:dyDescent="0.25">
      <c r="A577" t="str">
        <f t="shared" si="181"/>
        <v>10</v>
      </c>
      <c r="B577" t="str">
        <f>CLEAN("25")</f>
        <v>25</v>
      </c>
      <c r="C577" s="1">
        <v>45347</v>
      </c>
      <c r="D577" t="str">
        <f>CLEAN("4761-98-24")</f>
        <v>4761-98-24</v>
      </c>
      <c r="E577" t="str">
        <f t="shared" si="175"/>
        <v xml:space="preserve">305  </v>
      </c>
      <c r="F577" t="str">
        <f>CLEAN("$750,000 - $999,999      ")</f>
        <v xml:space="preserve">$750,000 - $999,999      </v>
      </c>
      <c r="G577" t="str">
        <f t="shared" si="176"/>
        <v>MIS</v>
      </c>
      <c r="H577" t="str">
        <f t="shared" si="177"/>
        <v>NONLET CONSTR/REAL ESTATE</v>
      </c>
      <c r="I577" t="str">
        <f>CLEAN("TRF OPS- PAVEMENT MARKING TMAS CY24")</f>
        <v>TRF OPS- PAVEMENT MARKING TMAS CY24</v>
      </c>
      <c r="J577" t="str">
        <f t="shared" si="178"/>
        <v>VAR HWY</v>
      </c>
      <c r="K577" t="str">
        <f>CLEAN("TREMPEALEAU                   ")</f>
        <v xml:space="preserve">TREMPEALEAU                   </v>
      </c>
      <c r="L577" t="str">
        <f>CLEAN("TREMPEALEAU COUNTY PAVEMENT MARKING")</f>
        <v>TREMPEALEAU COUNTY PAVEMENT MARKING</v>
      </c>
      <c r="M577" t="str">
        <f>CLEAN("LOCATIONS ON STH PER ANNUAL PLAN   ")</f>
        <v xml:space="preserve">LOCATIONS ON STH PER ANNUAL PLAN   </v>
      </c>
      <c r="N577">
        <v>0</v>
      </c>
      <c r="O577" t="str">
        <f t="shared" si="174"/>
        <v xml:space="preserve">          </v>
      </c>
      <c r="P577" t="str">
        <f t="shared" si="179"/>
        <v xml:space="preserve">STATE HIGHWAY OPERATIONS PROGRAM                                                                    </v>
      </c>
    </row>
    <row r="578" spans="1:16" x14ac:dyDescent="0.25">
      <c r="A578" t="str">
        <f t="shared" si="181"/>
        <v>10</v>
      </c>
      <c r="B578" t="str">
        <f>CLEAN("21")</f>
        <v>21</v>
      </c>
      <c r="C578" s="1">
        <v>45347</v>
      </c>
      <c r="D578" t="str">
        <f>CLEAN("4762-98-24")</f>
        <v>4762-98-24</v>
      </c>
      <c r="E578" t="str">
        <f t="shared" si="175"/>
        <v xml:space="preserve">305  </v>
      </c>
      <c r="F578" t="str">
        <f>CLEAN("$250,000 - $499,999      ")</f>
        <v xml:space="preserve">$250,000 - $499,999      </v>
      </c>
      <c r="G578" t="str">
        <f t="shared" si="176"/>
        <v>MIS</v>
      </c>
      <c r="H578" t="str">
        <f t="shared" si="177"/>
        <v>NONLET CONSTR/REAL ESTATE</v>
      </c>
      <c r="I578" t="str">
        <f>CLEAN("TRF OPS/PAVEMENT MARKING TMAS CY24 ")</f>
        <v xml:space="preserve">TRF OPS/PAVEMENT MARKING TMAS CY24 </v>
      </c>
      <c r="J578" t="str">
        <f t="shared" si="178"/>
        <v>VAR HWY</v>
      </c>
      <c r="K578" t="str">
        <f>CLEAN("VERNON                        ")</f>
        <v xml:space="preserve">VERNON                        </v>
      </c>
      <c r="L578" t="str">
        <f>CLEAN("VERNON COUNTY PAVEMENT MARKING     ")</f>
        <v xml:space="preserve">VERNON COUNTY PAVEMENT MARKING     </v>
      </c>
      <c r="M578" t="str">
        <f>CLEAN("LOCATIONS ON STH PER ANNUAL PLAN   ")</f>
        <v xml:space="preserve">LOCATIONS ON STH PER ANNUAL PLAN   </v>
      </c>
      <c r="N578">
        <v>0</v>
      </c>
      <c r="O578" t="str">
        <f t="shared" si="174"/>
        <v xml:space="preserve">          </v>
      </c>
      <c r="P578" t="str">
        <f t="shared" si="179"/>
        <v xml:space="preserve">STATE HIGHWAY OPERATIONS PROGRAM                                                                    </v>
      </c>
    </row>
    <row r="579" spans="1:16" x14ac:dyDescent="0.25">
      <c r="A579" t="str">
        <f t="shared" si="181"/>
        <v>10</v>
      </c>
      <c r="B579" t="str">
        <f>CLEAN("22")</f>
        <v>22</v>
      </c>
      <c r="C579" s="1">
        <v>45316</v>
      </c>
      <c r="D579" t="str">
        <f>CLEAN("4764-98-24")</f>
        <v>4764-98-24</v>
      </c>
      <c r="E579" t="str">
        <f t="shared" si="175"/>
        <v xml:space="preserve">305  </v>
      </c>
      <c r="F579" t="str">
        <f>CLEAN("$100,000-$249,999        ")</f>
        <v xml:space="preserve">$100,000-$249,999        </v>
      </c>
      <c r="G579" t="str">
        <f t="shared" si="176"/>
        <v>MIS</v>
      </c>
      <c r="H579" t="str">
        <f t="shared" si="177"/>
        <v>NONLET CONSTR/REAL ESTATE</v>
      </c>
      <c r="I579" t="str">
        <f>CLEAN("TRF OPS/PAVEMENT MARKING TMAS CY24 ")</f>
        <v xml:space="preserve">TRF OPS/PAVEMENT MARKING TMAS CY24 </v>
      </c>
      <c r="J579" t="str">
        <f t="shared" si="178"/>
        <v>VAR HWY</v>
      </c>
      <c r="K579" t="str">
        <f>CLEAN("WALWORTH                      ")</f>
        <v xml:space="preserve">WALWORTH                      </v>
      </c>
      <c r="L579" t="str">
        <f>CLEAN("WALWORTH COUNTY PAVEMENT MARKING   ")</f>
        <v xml:space="preserve">WALWORTH COUNTY PAVEMENT MARKING   </v>
      </c>
      <c r="M579" t="str">
        <f>CLEAN("LOCATIONS ON STN PER ANNUAL PLAN   ")</f>
        <v xml:space="preserve">LOCATIONS ON STN PER ANNUAL PLAN   </v>
      </c>
      <c r="N579">
        <v>0</v>
      </c>
      <c r="O579" t="str">
        <f t="shared" si="174"/>
        <v xml:space="preserve">          </v>
      </c>
      <c r="P579" t="str">
        <f t="shared" si="179"/>
        <v xml:space="preserve">STATE HIGHWAY OPERATIONS PROGRAM                                                                    </v>
      </c>
    </row>
    <row r="580" spans="1:16" x14ac:dyDescent="0.25">
      <c r="A580" t="str">
        <f t="shared" si="181"/>
        <v>10</v>
      </c>
      <c r="B580" t="str">
        <f>CLEAN("25")</f>
        <v>25</v>
      </c>
      <c r="C580" s="1">
        <v>45347</v>
      </c>
      <c r="D580" t="str">
        <f>CLEAN("4765-98-24")</f>
        <v>4765-98-24</v>
      </c>
      <c r="E580" t="str">
        <f t="shared" si="175"/>
        <v xml:space="preserve">305  </v>
      </c>
      <c r="F580" t="str">
        <f>CLEAN("$750,000 - $999,999      ")</f>
        <v xml:space="preserve">$750,000 - $999,999      </v>
      </c>
      <c r="G580" t="str">
        <f t="shared" si="176"/>
        <v>MIS</v>
      </c>
      <c r="H580" t="str">
        <f t="shared" si="177"/>
        <v>NONLET CONSTR/REAL ESTATE</v>
      </c>
      <c r="I580" t="str">
        <f>CLEAN("TRF OPS- PAVEMENT MARKING TMAS CY24")</f>
        <v>TRF OPS- PAVEMENT MARKING TMAS CY24</v>
      </c>
      <c r="J580" t="str">
        <f t="shared" si="178"/>
        <v>VAR HWY</v>
      </c>
      <c r="K580" t="str">
        <f>CLEAN("WASHBURN                      ")</f>
        <v xml:space="preserve">WASHBURN                      </v>
      </c>
      <c r="L580" t="str">
        <f>CLEAN("WASHBURN COUNTY PAVEMENT MARKING   ")</f>
        <v xml:space="preserve">WASHBURN COUNTY PAVEMENT MARKING   </v>
      </c>
      <c r="M580" t="str">
        <f>CLEAN("LOCATIONS ON STH PER ANNUAL PLAN   ")</f>
        <v xml:space="preserve">LOCATIONS ON STH PER ANNUAL PLAN   </v>
      </c>
      <c r="N580">
        <v>0</v>
      </c>
      <c r="O580" t="str">
        <f t="shared" si="174"/>
        <v xml:space="preserve">          </v>
      </c>
      <c r="P580" t="str">
        <f t="shared" si="179"/>
        <v xml:space="preserve">STATE HIGHWAY OPERATIONS PROGRAM                                                                    </v>
      </c>
    </row>
    <row r="581" spans="1:16" x14ac:dyDescent="0.25">
      <c r="A581" t="str">
        <f t="shared" si="181"/>
        <v>10</v>
      </c>
      <c r="B581" t="str">
        <f>CLEAN("22")</f>
        <v>22</v>
      </c>
      <c r="C581" s="1">
        <v>45316</v>
      </c>
      <c r="D581" t="str">
        <f>CLEAN("4766-98-24")</f>
        <v>4766-98-24</v>
      </c>
      <c r="E581" t="str">
        <f t="shared" si="175"/>
        <v xml:space="preserve">305  </v>
      </c>
      <c r="F581" t="str">
        <f>CLEAN("$250,000 - $499,999      ")</f>
        <v xml:space="preserve">$250,000 - $499,999      </v>
      </c>
      <c r="G581" t="str">
        <f t="shared" si="176"/>
        <v>MIS</v>
      </c>
      <c r="H581" t="str">
        <f t="shared" si="177"/>
        <v>NONLET CONSTR/REAL ESTATE</v>
      </c>
      <c r="I581" t="str">
        <f>CLEAN("TRF OPS/PAVEMENT MARKING TMAS CY24 ")</f>
        <v xml:space="preserve">TRF OPS/PAVEMENT MARKING TMAS CY24 </v>
      </c>
      <c r="J581" t="str">
        <f t="shared" si="178"/>
        <v>VAR HWY</v>
      </c>
      <c r="K581" t="str">
        <f>CLEAN("WASHINGTON                    ")</f>
        <v xml:space="preserve">WASHINGTON                    </v>
      </c>
      <c r="L581" t="str">
        <f>CLEAN("WASHINGTON COUNTY PAVEMENT MARKING ")</f>
        <v xml:space="preserve">WASHINGTON COUNTY PAVEMENT MARKING </v>
      </c>
      <c r="M581" t="str">
        <f>CLEAN("LOCATIONS ON STN PER ANNUAL PLAN   ")</f>
        <v xml:space="preserve">LOCATIONS ON STN PER ANNUAL PLAN   </v>
      </c>
      <c r="N581">
        <v>0</v>
      </c>
      <c r="O581" t="str">
        <f t="shared" si="174"/>
        <v xml:space="preserve">          </v>
      </c>
      <c r="P581" t="str">
        <f t="shared" si="179"/>
        <v xml:space="preserve">STATE HIGHWAY OPERATIONS PROGRAM                                                                    </v>
      </c>
    </row>
    <row r="582" spans="1:16" x14ac:dyDescent="0.25">
      <c r="A582" t="str">
        <f t="shared" si="181"/>
        <v>10</v>
      </c>
      <c r="B582" t="str">
        <f>CLEAN("22")</f>
        <v>22</v>
      </c>
      <c r="C582" s="1">
        <v>45316</v>
      </c>
      <c r="D582" t="str">
        <f>CLEAN("4767-98-24")</f>
        <v>4767-98-24</v>
      </c>
      <c r="E582" t="str">
        <f t="shared" si="175"/>
        <v xml:space="preserve">305  </v>
      </c>
      <c r="F582" t="str">
        <f>CLEAN("$100,000-$249,999        ")</f>
        <v xml:space="preserve">$100,000-$249,999        </v>
      </c>
      <c r="G582" t="str">
        <f t="shared" si="176"/>
        <v>MIS</v>
      </c>
      <c r="H582" t="str">
        <f t="shared" si="177"/>
        <v>NONLET CONSTR/REAL ESTATE</v>
      </c>
      <c r="I582" t="str">
        <f>CLEAN("TRF OPS/PAVEMENT MARKING TMAS CY24 ")</f>
        <v xml:space="preserve">TRF OPS/PAVEMENT MARKING TMAS CY24 </v>
      </c>
      <c r="J582" t="str">
        <f t="shared" si="178"/>
        <v>VAR HWY</v>
      </c>
      <c r="K582" t="str">
        <f>CLEAN("WAUKESHA                      ")</f>
        <v xml:space="preserve">WAUKESHA                      </v>
      </c>
      <c r="L582" t="str">
        <f>CLEAN("WAUKESHA COUNTY PAVEMENT MAKRING   ")</f>
        <v xml:space="preserve">WAUKESHA COUNTY PAVEMENT MAKRING   </v>
      </c>
      <c r="M582" t="str">
        <f>CLEAN("LOCATIONS ON STN PER ANNUAL PLAN   ")</f>
        <v xml:space="preserve">LOCATIONS ON STN PER ANNUAL PLAN   </v>
      </c>
      <c r="N582">
        <v>0</v>
      </c>
      <c r="O582" t="str">
        <f t="shared" si="174"/>
        <v xml:space="preserve">          </v>
      </c>
      <c r="P582" t="str">
        <f t="shared" si="179"/>
        <v xml:space="preserve">STATE HIGHWAY OPERATIONS PROGRAM                                                                    </v>
      </c>
    </row>
    <row r="583" spans="1:16" x14ac:dyDescent="0.25">
      <c r="A583" t="str">
        <f t="shared" si="181"/>
        <v>10</v>
      </c>
      <c r="B583" t="str">
        <f>CLEAN("24")</f>
        <v>24</v>
      </c>
      <c r="C583" s="1">
        <v>45347</v>
      </c>
      <c r="D583" t="str">
        <f>CLEAN("4769-98-24")</f>
        <v>4769-98-24</v>
      </c>
      <c r="E583" t="str">
        <f t="shared" si="175"/>
        <v xml:space="preserve">305  </v>
      </c>
      <c r="F583" t="str">
        <f>CLEAN("$250,000 - $499,999      ")</f>
        <v xml:space="preserve">$250,000 - $499,999      </v>
      </c>
      <c r="G583" t="str">
        <f t="shared" si="176"/>
        <v>MIS</v>
      </c>
      <c r="H583" t="str">
        <f t="shared" si="177"/>
        <v>NONLET CONSTR/REAL ESTATE</v>
      </c>
      <c r="I583" t="str">
        <f>CLEAN("TRF OPS-PAVEMENT MARKING TMAS CY24 ")</f>
        <v xml:space="preserve">TRF OPS-PAVEMENT MARKING TMAS CY24 </v>
      </c>
      <c r="J583" t="str">
        <f t="shared" si="178"/>
        <v>VAR HWY</v>
      </c>
      <c r="K583" t="str">
        <f>CLEAN("WAUSHARA                      ")</f>
        <v xml:space="preserve">WAUSHARA                      </v>
      </c>
      <c r="L583" t="str">
        <f>CLEAN("WAUSHARA CO PAVEMENT MARKING TMA'S ")</f>
        <v xml:space="preserve">WAUSHARA CO PAVEMENT MARKING TMA'S </v>
      </c>
      <c r="M583" t="str">
        <f>CLEAN("LOCATIONS ON STN PER ANNUAL PLAN   ")</f>
        <v xml:space="preserve">LOCATIONS ON STN PER ANNUAL PLAN   </v>
      </c>
      <c r="N583">
        <v>0</v>
      </c>
      <c r="O583" t="str">
        <f t="shared" si="174"/>
        <v xml:space="preserve">          </v>
      </c>
      <c r="P583" t="str">
        <f t="shared" si="179"/>
        <v xml:space="preserve">STATE HIGHWAY OPERATIONS PROGRAM                                                                    </v>
      </c>
    </row>
    <row r="584" spans="1:16" x14ac:dyDescent="0.25">
      <c r="A584" t="str">
        <f t="shared" si="181"/>
        <v>10</v>
      </c>
      <c r="B584" t="str">
        <f>CLEAN("23")</f>
        <v>23</v>
      </c>
      <c r="C584" s="1">
        <v>45636</v>
      </c>
      <c r="D584" t="str">
        <f>CLEAN("4816-00-71")</f>
        <v>4816-00-71</v>
      </c>
      <c r="E584" t="str">
        <f>CLEAN("205  ")</f>
        <v xml:space="preserve">205  </v>
      </c>
      <c r="F584" t="str">
        <f>CLEAN("$500,000 - $749,999      ")</f>
        <v xml:space="preserve">$500,000 - $749,999      </v>
      </c>
      <c r="G584" t="str">
        <f>CLEAN("LET")</f>
        <v>LET</v>
      </c>
      <c r="H584" t="str">
        <f>CLEAN("LET CONSTRUCTION         ")</f>
        <v xml:space="preserve">LET CONSTRUCTION         </v>
      </c>
      <c r="I584" t="str">
        <f>CLEAN("CONST OPS/BRRPL/P20-0082           ")</f>
        <v xml:space="preserve">CONST OPS/BRRPL/P20-0082           </v>
      </c>
      <c r="J584" t="str">
        <f>CLEAN("LOC STR")</f>
        <v>LOC STR</v>
      </c>
      <c r="K584" t="str">
        <f>CLEAN("FOND DU LAC                   ")</f>
        <v xml:space="preserve">FOND DU LAC                   </v>
      </c>
      <c r="L584" t="str">
        <f>CLEAN("T FOREST, POPLAR ROAD              ")</f>
        <v xml:space="preserve">T FOREST, POPLAR ROAD              </v>
      </c>
      <c r="M584" t="str">
        <f>CLEAN("SHEBOYGAN RIVER BRIDGE             ")</f>
        <v xml:space="preserve">SHEBOYGAN RIVER BRIDGE             </v>
      </c>
      <c r="N584">
        <v>0.24099999999999999</v>
      </c>
      <c r="O584" t="str">
        <f t="shared" si="174"/>
        <v xml:space="preserve">          </v>
      </c>
      <c r="P58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85" spans="1:16" x14ac:dyDescent="0.25">
      <c r="A585" t="str">
        <f t="shared" si="181"/>
        <v>10</v>
      </c>
      <c r="B585" t="str">
        <f>CLEAN("22")</f>
        <v>22</v>
      </c>
      <c r="C585" s="1">
        <v>45335</v>
      </c>
      <c r="D585" t="str">
        <f>CLEAN("4822-07-71")</f>
        <v>4822-07-71</v>
      </c>
      <c r="E585" t="str">
        <f>CLEAN("206  ")</f>
        <v xml:space="preserve">206  </v>
      </c>
      <c r="F585" t="str">
        <f>CLEAN("$100,000-$249,999        ")</f>
        <v xml:space="preserve">$100,000-$249,999        </v>
      </c>
      <c r="G585" t="str">
        <f>CLEAN("LET")</f>
        <v>LET</v>
      </c>
      <c r="H585" t="str">
        <f>CLEAN("LET CONSTRUCTION         ")</f>
        <v xml:space="preserve">LET CONSTRUCTION         </v>
      </c>
      <c r="I585" t="str">
        <f>CLEAN("CONST/MISC                         ")</f>
        <v xml:space="preserve">CONST/MISC                         </v>
      </c>
      <c r="J585" t="str">
        <f>CLEAN("CTH H  ")</f>
        <v xml:space="preserve">CTH H  </v>
      </c>
      <c r="K585" t="str">
        <f>CLEAN("OZAUKEE                       ")</f>
        <v xml:space="preserve">OZAUKEE                       </v>
      </c>
      <c r="L585" t="str">
        <f>CLEAN("FREDONIA - PORT WASHINGTON         ")</f>
        <v xml:space="preserve">FREDONIA - PORT WASHINGTON         </v>
      </c>
      <c r="M585" t="str">
        <f>CLEAN("CTH A-CTH KW                       ")</f>
        <v xml:space="preserve">CTH A-CTH KW                       </v>
      </c>
      <c r="N585">
        <v>5.1210000000000004</v>
      </c>
      <c r="O585" t="str">
        <f t="shared" si="174"/>
        <v xml:space="preserve">          </v>
      </c>
      <c r="P585" t="str">
        <f>CLEAN("SAFETY - HIGH RISK RURAL ROADS                                                                      ")</f>
        <v xml:space="preserve">SAFETY - HIGH RISK RURAL ROADS                                                                      </v>
      </c>
    </row>
    <row r="586" spans="1:16" x14ac:dyDescent="0.25">
      <c r="A586" t="str">
        <f t="shared" si="181"/>
        <v>10</v>
      </c>
      <c r="B586" t="str">
        <f>CLEAN("22")</f>
        <v>22</v>
      </c>
      <c r="C586" s="1">
        <v>45529</v>
      </c>
      <c r="D586" t="str">
        <f>CLEAN("4822-22-70")</f>
        <v>4822-22-70</v>
      </c>
      <c r="E586" t="str">
        <f>CLEAN("290  ")</f>
        <v xml:space="preserve">290  </v>
      </c>
      <c r="F586" t="str">
        <f>CLEAN("$1,000,000 - $1,999,999  ")</f>
        <v xml:space="preserve">$1,000,000 - $1,999,999  </v>
      </c>
      <c r="G586" t="str">
        <f>CLEAN("LLC")</f>
        <v>LLC</v>
      </c>
      <c r="H586" t="str">
        <f>CLEAN("NONLET CONSTR/REAL ESTATE")</f>
        <v>NONLET CONSTR/REAL ESTATE</v>
      </c>
      <c r="I586" t="str">
        <f>CLEAN("CONST/TRAIL                        ")</f>
        <v xml:space="preserve">CONST/TRAIL                        </v>
      </c>
      <c r="J586" t="str">
        <f>CLEAN("NON HWY")</f>
        <v>NON HWY</v>
      </c>
      <c r="K586" t="str">
        <f>CLEAN("OZAUKEE                       ")</f>
        <v xml:space="preserve">OZAUKEE                       </v>
      </c>
      <c r="L586" t="str">
        <f>CLEAN("OZAUKEE INTERURBAN TRAIL           ")</f>
        <v xml:space="preserve">OZAUKEE INTERURBAN TRAIL           </v>
      </c>
      <c r="M586" t="str">
        <f>CLEAN("CO LN-GRAFTON C LMT EXCLD C PT WASH")</f>
        <v>CO LN-GRAFTON C LMT EXCLD C PT WASH</v>
      </c>
      <c r="N586">
        <v>0</v>
      </c>
      <c r="O586" t="str">
        <f t="shared" si="174"/>
        <v xml:space="preserve">          </v>
      </c>
      <c r="P586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87" spans="1:16" x14ac:dyDescent="0.25">
      <c r="A587" t="str">
        <f t="shared" si="181"/>
        <v>10</v>
      </c>
      <c r="B587" t="str">
        <f>CLEAN("22")</f>
        <v>22</v>
      </c>
      <c r="C587" s="1">
        <v>45426</v>
      </c>
      <c r="D587" t="str">
        <f>CLEAN("4826-00-71")</f>
        <v>4826-00-71</v>
      </c>
      <c r="E587" t="str">
        <f>CLEAN("205  ")</f>
        <v xml:space="preserve">205  </v>
      </c>
      <c r="F587" t="str">
        <f>CLEAN("$250,000 - $499,999      ")</f>
        <v xml:space="preserve">$250,000 - $499,999      </v>
      </c>
      <c r="G587" t="str">
        <f t="shared" ref="G587:G593" si="182">CLEAN("LET")</f>
        <v>LET</v>
      </c>
      <c r="H587" t="str">
        <f t="shared" ref="H587:H593" si="183">CLEAN("LET CONSTRUCTION         ")</f>
        <v xml:space="preserve">LET CONSTRUCTION         </v>
      </c>
      <c r="I587" t="str">
        <f>CLEAN("CONST/BRRPL                        ")</f>
        <v xml:space="preserve">CONST/BRRPL                        </v>
      </c>
      <c r="J587" t="str">
        <f>CLEAN("LOC STR")</f>
        <v>LOC STR</v>
      </c>
      <c r="K587" t="str">
        <f>CLEAN("WASHINGTON                    ")</f>
        <v xml:space="preserve">WASHINGTON                    </v>
      </c>
      <c r="L587" t="str">
        <f>CLEAN("FARMINGTON - ORCHARD VALLEY ROAD   ")</f>
        <v xml:space="preserve">FARMINGTON - ORCHARD VALLEY ROAD   </v>
      </c>
      <c r="M587" t="str">
        <f>CLEAN("OVER BR N BR MILWAUKEE RIVER P66-39")</f>
        <v>OVER BR N BR MILWAUKEE RIVER P66-39</v>
      </c>
      <c r="N587">
        <v>0</v>
      </c>
      <c r="O587" t="str">
        <f t="shared" si="174"/>
        <v xml:space="preserve">          </v>
      </c>
      <c r="P58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88" spans="1:16" x14ac:dyDescent="0.25">
      <c r="A588" t="str">
        <f t="shared" si="181"/>
        <v>10</v>
      </c>
      <c r="B588" t="str">
        <f>CLEAN("23")</f>
        <v>23</v>
      </c>
      <c r="C588" s="1">
        <v>45335</v>
      </c>
      <c r="D588" t="str">
        <f>CLEAN("4831-05-71")</f>
        <v>4831-05-71</v>
      </c>
      <c r="E588" t="str">
        <f>CLEAN("206  ")</f>
        <v xml:space="preserve">206  </v>
      </c>
      <c r="F588" t="str">
        <f>CLEAN("$3,000,000 - $3,999,999  ")</f>
        <v xml:space="preserve">$3,000,000 - $3,999,999  </v>
      </c>
      <c r="G588" t="str">
        <f t="shared" si="182"/>
        <v>LET</v>
      </c>
      <c r="H588" t="str">
        <f t="shared" si="183"/>
        <v xml:space="preserve">LET CONSTRUCTION         </v>
      </c>
      <c r="I588" t="str">
        <f>CLEAN("CONST OPS/RECST                    ")</f>
        <v xml:space="preserve">CONST OPS/RECST                    </v>
      </c>
      <c r="J588" t="str">
        <f>CLEAN("CTH VV ")</f>
        <v xml:space="preserve">CTH VV </v>
      </c>
      <c r="K588" t="str">
        <f>CLEAN("FOND DU LAC                   ")</f>
        <v xml:space="preserve">FOND DU LAC                   </v>
      </c>
      <c r="L588" t="str">
        <f>CLEAN("C FOND DU LAC, CTH VV              ")</f>
        <v xml:space="preserve">C FOND DU LAC, CTH VV              </v>
      </c>
      <c r="M588" t="str">
        <f>CLEAN("CTH V TO MARTIN AVENUE             ")</f>
        <v xml:space="preserve">CTH V TO MARTIN AVENUE             </v>
      </c>
      <c r="N588">
        <v>0.48299999999999998</v>
      </c>
      <c r="O588" t="str">
        <f t="shared" si="174"/>
        <v xml:space="preserve">          </v>
      </c>
      <c r="P588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589" spans="1:16" x14ac:dyDescent="0.25">
      <c r="A589" t="str">
        <f t="shared" si="181"/>
        <v>10</v>
      </c>
      <c r="B589" t="str">
        <f>CLEAN("23")</f>
        <v>23</v>
      </c>
      <c r="C589" s="1">
        <v>45636</v>
      </c>
      <c r="D589" t="str">
        <f>CLEAN("4840-00-71")</f>
        <v>4840-00-71</v>
      </c>
      <c r="E589" t="str">
        <f>CLEAN("205  ")</f>
        <v xml:space="preserve">205  </v>
      </c>
      <c r="F589" t="str">
        <f>CLEAN("$500,000 - $749,999      ")</f>
        <v xml:space="preserve">$500,000 - $749,999      </v>
      </c>
      <c r="G589" t="str">
        <f t="shared" si="182"/>
        <v>LET</v>
      </c>
      <c r="H589" t="str">
        <f t="shared" si="183"/>
        <v xml:space="preserve">LET CONSTRUCTION         </v>
      </c>
      <c r="I589" t="str">
        <f>CLEAN("CONST OPS/BRRPL/B20-0019           ")</f>
        <v xml:space="preserve">CONST OPS/BRRPL/B20-0019           </v>
      </c>
      <c r="J589" t="str">
        <f>CLEAN("CTH T  ")</f>
        <v xml:space="preserve">CTH T  </v>
      </c>
      <c r="K589" t="str">
        <f>CLEAN("FOND DU LAC                   ")</f>
        <v xml:space="preserve">FOND DU LAC                   </v>
      </c>
      <c r="L589" t="str">
        <f>CLEAN("T EMPIRE, CTH T                    ")</f>
        <v xml:space="preserve">T EMPIRE, CTH T                    </v>
      </c>
      <c r="M589" t="str">
        <f>CLEAN("TAYCHEEDAH CREEK BRIDGE            ")</f>
        <v xml:space="preserve">TAYCHEEDAH CREEK BRIDGE            </v>
      </c>
      <c r="N589">
        <v>0.17799999999999999</v>
      </c>
      <c r="O589" t="str">
        <f>CLEAN("4840-01-71")</f>
        <v>4840-01-71</v>
      </c>
      <c r="P58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0" spans="1:16" x14ac:dyDescent="0.25">
      <c r="A590" t="str">
        <f t="shared" si="181"/>
        <v>10</v>
      </c>
      <c r="B590" t="str">
        <f>CLEAN("23")</f>
        <v>23</v>
      </c>
      <c r="C590" s="1">
        <v>45636</v>
      </c>
      <c r="D590" t="str">
        <f>CLEAN("4840-01-71")</f>
        <v>4840-01-71</v>
      </c>
      <c r="E590" t="str">
        <f>CLEAN("205  ")</f>
        <v xml:space="preserve">205  </v>
      </c>
      <c r="F590" t="str">
        <f>CLEAN("$750,000 - $999,999      ")</f>
        <v xml:space="preserve">$750,000 - $999,999      </v>
      </c>
      <c r="G590" t="str">
        <f t="shared" si="182"/>
        <v>LET</v>
      </c>
      <c r="H590" t="str">
        <f t="shared" si="183"/>
        <v xml:space="preserve">LET CONSTRUCTION         </v>
      </c>
      <c r="I590" t="str">
        <f>CLEAN("CONST OPS/BRRPL/B20-0020           ")</f>
        <v xml:space="preserve">CONST OPS/BRRPL/B20-0020           </v>
      </c>
      <c r="J590" t="str">
        <f>CLEAN("CTH T  ")</f>
        <v xml:space="preserve">CTH T  </v>
      </c>
      <c r="K590" t="str">
        <f>CLEAN("FOND DU LAC                   ")</f>
        <v xml:space="preserve">FOND DU LAC                   </v>
      </c>
      <c r="L590" t="str">
        <f>CLEAN("T EMPIRE, CTH T                    ")</f>
        <v xml:space="preserve">T EMPIRE, CTH T                    </v>
      </c>
      <c r="M590" t="str">
        <f>CLEAN("TAYCHEEDAH CREEK BRIDGE            ")</f>
        <v xml:space="preserve">TAYCHEEDAH CREEK BRIDGE            </v>
      </c>
      <c r="N590">
        <v>7.8E-2</v>
      </c>
      <c r="O590" t="str">
        <f>CLEAN("4840-00-71")</f>
        <v>4840-00-71</v>
      </c>
      <c r="P59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1" spans="1:16" x14ac:dyDescent="0.25">
      <c r="A591" t="str">
        <f t="shared" si="181"/>
        <v>10</v>
      </c>
      <c r="B591" t="str">
        <f>CLEAN("22")</f>
        <v>22</v>
      </c>
      <c r="C591" s="1">
        <v>45608</v>
      </c>
      <c r="D591" t="str">
        <f>CLEAN("4868-05-70")</f>
        <v>4868-05-70</v>
      </c>
      <c r="E591" t="str">
        <f>CLEAN("205  ")</f>
        <v xml:space="preserve">205  </v>
      </c>
      <c r="F591" t="str">
        <f>CLEAN("$2,000,000 - $2,999,999  ")</f>
        <v xml:space="preserve">$2,000,000 - $2,999,999  </v>
      </c>
      <c r="G591" t="str">
        <f t="shared" si="182"/>
        <v>LET</v>
      </c>
      <c r="H591" t="str">
        <f t="shared" si="183"/>
        <v xml:space="preserve">LET CONSTRUCTION         </v>
      </c>
      <c r="I591" t="str">
        <f>CLEAN("CONST/BRRPL                        ")</f>
        <v xml:space="preserve">CONST/BRRPL                        </v>
      </c>
      <c r="J591" t="str">
        <f>CLEAN("CTH A  ")</f>
        <v xml:space="preserve">CTH A  </v>
      </c>
      <c r="K591" t="str">
        <f>CLEAN("WASHINGTON                    ")</f>
        <v xml:space="preserve">WASHINGTON                    </v>
      </c>
      <c r="L591" t="str">
        <f>CLEAN("T FARMINGTON, CTH A                ")</f>
        <v xml:space="preserve">T FARMINGTON, CTH A                </v>
      </c>
      <c r="M591" t="str">
        <f>CLEAN("MILWAUKEE RIVER BRIDGE B66-944     ")</f>
        <v xml:space="preserve">MILWAUKEE RIVER BRIDGE B66-944     </v>
      </c>
      <c r="N591">
        <v>0</v>
      </c>
      <c r="O591" t="str">
        <f t="shared" ref="O591:O614" si="184">CLEAN("          ")</f>
        <v xml:space="preserve">          </v>
      </c>
      <c r="P59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2" spans="1:16" x14ac:dyDescent="0.25">
      <c r="A592" t="str">
        <f t="shared" si="181"/>
        <v>10</v>
      </c>
      <c r="B592" t="str">
        <f t="shared" ref="B592:B606" si="185">CLEAN("23")</f>
        <v>23</v>
      </c>
      <c r="C592" s="1">
        <v>45636</v>
      </c>
      <c r="D592" t="str">
        <f>CLEAN("4984-01-79")</f>
        <v>4984-01-79</v>
      </c>
      <c r="E592" t="str">
        <f>CLEAN("205  ")</f>
        <v xml:space="preserve">205  </v>
      </c>
      <c r="F592" t="str">
        <f>CLEAN("$1,000,000 - $1,999,999  ")</f>
        <v xml:space="preserve">$1,000,000 - $1,999,999  </v>
      </c>
      <c r="G592" t="str">
        <f t="shared" si="182"/>
        <v>LET</v>
      </c>
      <c r="H592" t="str">
        <f t="shared" si="183"/>
        <v xml:space="preserve">LET CONSTRUCTION         </v>
      </c>
      <c r="I592" t="str">
        <f>CLEAN("CONST OPS/BRRPL                    ")</f>
        <v xml:space="preserve">CONST OPS/BRRPL                    </v>
      </c>
      <c r="J592" t="str">
        <f t="shared" ref="J592:J598" si="186">CLEAN("LOC STR")</f>
        <v>LOC STR</v>
      </c>
      <c r="K592" t="str">
        <f>CLEAN("OUTAGAMIE                     ")</f>
        <v xml:space="preserve">OUTAGAMIE                     </v>
      </c>
      <c r="L592" t="str">
        <f>CLEAN("C APPLETON, OLDE ONEIDA STREET     ")</f>
        <v xml:space="preserve">C APPLETON, OLDE ONEIDA STREET     </v>
      </c>
      <c r="M592" t="str">
        <f>CLEAN("SOUTH MILL RACE BRIDGE             ")</f>
        <v xml:space="preserve">SOUTH MILL RACE BRIDGE             </v>
      </c>
      <c r="N592">
        <v>0.152</v>
      </c>
      <c r="O592" t="str">
        <f t="shared" si="184"/>
        <v xml:space="preserve">          </v>
      </c>
      <c r="P5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3" spans="1:16" x14ac:dyDescent="0.25">
      <c r="A593" t="str">
        <f t="shared" si="181"/>
        <v>10</v>
      </c>
      <c r="B593" t="str">
        <f t="shared" si="185"/>
        <v>23</v>
      </c>
      <c r="C593" s="1">
        <v>45335</v>
      </c>
      <c r="D593" t="str">
        <f>CLEAN("4985-00-62")</f>
        <v>4985-00-62</v>
      </c>
      <c r="E593" t="str">
        <f>CLEAN("206  ")</f>
        <v xml:space="preserve">206  </v>
      </c>
      <c r="F593" t="str">
        <f>CLEAN("$2,000,000 - $2,999,999  ")</f>
        <v xml:space="preserve">$2,000,000 - $2,999,999  </v>
      </c>
      <c r="G593" t="str">
        <f t="shared" si="182"/>
        <v>LET</v>
      </c>
      <c r="H593" t="str">
        <f t="shared" si="183"/>
        <v xml:space="preserve">LET CONSTRUCTION         </v>
      </c>
      <c r="I593" t="str">
        <f>CLEAN("CONST OPS/RECST                    ")</f>
        <v xml:space="preserve">CONST OPS/RECST                    </v>
      </c>
      <c r="J593" t="str">
        <f t="shared" si="186"/>
        <v>LOC STR</v>
      </c>
      <c r="K593" t="str">
        <f>CLEAN("BROWN                         ")</f>
        <v xml:space="preserve">BROWN                         </v>
      </c>
      <c r="L593" t="str">
        <f>CLEAN("C DEPERE, LAWRENCE DRIVE           ")</f>
        <v xml:space="preserve">C DEPERE, LAWRENCE DRIVE           </v>
      </c>
      <c r="M593" t="str">
        <f>CLEAN("FORTUNE AVENUE TO SCHEURING ROAD   ")</f>
        <v xml:space="preserve">FORTUNE AVENUE TO SCHEURING ROAD   </v>
      </c>
      <c r="N593">
        <v>0.55300000000000005</v>
      </c>
      <c r="O593" t="str">
        <f t="shared" si="184"/>
        <v xml:space="preserve">          </v>
      </c>
      <c r="P593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94" spans="1:16" x14ac:dyDescent="0.25">
      <c r="A594" t="str">
        <f t="shared" si="181"/>
        <v>10</v>
      </c>
      <c r="B594" t="str">
        <f t="shared" si="185"/>
        <v>23</v>
      </c>
      <c r="C594" s="1">
        <v>45376</v>
      </c>
      <c r="D594" t="str">
        <f>CLEAN("4985-06-70")</f>
        <v>4985-06-70</v>
      </c>
      <c r="E594" t="str">
        <f>CLEAN("206  ")</f>
        <v xml:space="preserve">206  </v>
      </c>
      <c r="F594" t="str">
        <f>CLEAN("$0 - $99,999             ")</f>
        <v xml:space="preserve">$0 - $99,999             </v>
      </c>
      <c r="G594" t="str">
        <f>CLEAN("MIS")</f>
        <v>MIS</v>
      </c>
      <c r="H594" t="str">
        <f>CLEAN("NONLET CONSTR/REAL ESTATE")</f>
        <v>NONLET CONSTR/REAL ESTATE</v>
      </c>
      <c r="I594" t="str">
        <f>CLEAN("CONST/CRP/MISC                     ")</f>
        <v xml:space="preserve">CONST/CRP/MISC                     </v>
      </c>
      <c r="J594" t="str">
        <f t="shared" si="186"/>
        <v>LOC STR</v>
      </c>
      <c r="K594" t="str">
        <f>CLEAN("BROWN                         ")</f>
        <v xml:space="preserve">BROWN                         </v>
      </c>
      <c r="L594" t="str">
        <f>CLEAN("C DEPERE - STREET LIGHTING         ")</f>
        <v xml:space="preserve">C DEPERE - STREET LIGHTING         </v>
      </c>
      <c r="M594" t="str">
        <f>CLEAN("C DEPERE - VARIOUS STREET LOCATIONS")</f>
        <v>C DEPERE - VARIOUS STREET LOCATIONS</v>
      </c>
      <c r="N594">
        <v>8.2000000000000003E-2</v>
      </c>
      <c r="O594" t="str">
        <f t="shared" si="184"/>
        <v xml:space="preserve">          </v>
      </c>
      <c r="P594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595" spans="1:16" x14ac:dyDescent="0.25">
      <c r="A595" t="str">
        <f t="shared" si="181"/>
        <v>10</v>
      </c>
      <c r="B595" t="str">
        <f t="shared" si="185"/>
        <v>23</v>
      </c>
      <c r="C595" s="1">
        <v>45636</v>
      </c>
      <c r="D595" t="str">
        <f>CLEAN("4986-00-57")</f>
        <v>4986-00-57</v>
      </c>
      <c r="E595" t="str">
        <f>CLEAN("205  ")</f>
        <v xml:space="preserve">205  </v>
      </c>
      <c r="F595" t="str">
        <f>CLEAN("$1,000,000 - $1,999,999  ")</f>
        <v xml:space="preserve">$1,000,000 - $1,999,999  </v>
      </c>
      <c r="G595" t="str">
        <f>CLEAN("LET")</f>
        <v>LET</v>
      </c>
      <c r="H595" t="str">
        <f>CLEAN("LET CONSTRUCTION         ")</f>
        <v xml:space="preserve">LET CONSTRUCTION         </v>
      </c>
      <c r="I595" t="str">
        <f>CLEAN("CONST OPS/BRRPL/P20-0720           ")</f>
        <v xml:space="preserve">CONST OPS/BRRPL/P20-0720           </v>
      </c>
      <c r="J595" t="str">
        <f t="shared" si="186"/>
        <v>LOC STR</v>
      </c>
      <c r="K595" t="str">
        <f>CLEAN("FOND DU LAC                   ")</f>
        <v xml:space="preserve">FOND DU LAC                   </v>
      </c>
      <c r="L595" t="str">
        <f>CLEAN("C FOND DU LAC, PROMEN DRIVE        ")</f>
        <v xml:space="preserve">C FOND DU LAC, PROMEN DRIVE        </v>
      </c>
      <c r="M595" t="str">
        <f>CLEAN("LAKESIDE PARK LAGOON               ")</f>
        <v xml:space="preserve">LAKESIDE PARK LAGOON               </v>
      </c>
      <c r="N595">
        <v>0.16300000000000001</v>
      </c>
      <c r="O595" t="str">
        <f t="shared" si="184"/>
        <v xml:space="preserve">          </v>
      </c>
      <c r="P59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6" spans="1:16" x14ac:dyDescent="0.25">
      <c r="A596" t="str">
        <f t="shared" si="181"/>
        <v>10</v>
      </c>
      <c r="B596" t="str">
        <f t="shared" si="185"/>
        <v>23</v>
      </c>
      <c r="C596" s="1">
        <v>45335</v>
      </c>
      <c r="D596" t="str">
        <f>CLEAN("4986-00-59")</f>
        <v>4986-00-59</v>
      </c>
      <c r="E596" t="str">
        <f>CLEAN("205  ")</f>
        <v xml:space="preserve">205  </v>
      </c>
      <c r="F596" t="str">
        <f>CLEAN("$750,000 - $999,999      ")</f>
        <v xml:space="preserve">$750,000 - $999,999      </v>
      </c>
      <c r="G596" t="str">
        <f>CLEAN("LET")</f>
        <v>LET</v>
      </c>
      <c r="H596" t="str">
        <f>CLEAN("LET CONSTRUCTION         ")</f>
        <v xml:space="preserve">LET CONSTRUCTION         </v>
      </c>
      <c r="I596" t="str">
        <f>CLEAN("CONST OPS/BRRPL/B-20-0256          ")</f>
        <v xml:space="preserve">CONST OPS/BRRPL/B-20-0256          </v>
      </c>
      <c r="J596" t="str">
        <f t="shared" si="186"/>
        <v>LOC STR</v>
      </c>
      <c r="K596" t="str">
        <f>CLEAN("FOND DU LAC                   ")</f>
        <v xml:space="preserve">FOND DU LAC                   </v>
      </c>
      <c r="L596" t="str">
        <f>CLEAN("V NORTH FOND DU LAC,MCKINLEY STREET")</f>
        <v>V NORTH FOND DU LAC,MCKINLEY STREET</v>
      </c>
      <c r="M596" t="str">
        <f>CLEAN("MOSHER CREEK BRIDGE                ")</f>
        <v xml:space="preserve">MOSHER CREEK BRIDGE                </v>
      </c>
      <c r="N596">
        <v>6.5000000000000002E-2</v>
      </c>
      <c r="O596" t="str">
        <f t="shared" si="184"/>
        <v xml:space="preserve">          </v>
      </c>
      <c r="P59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7" spans="1:16" x14ac:dyDescent="0.25">
      <c r="A597" t="str">
        <f t="shared" si="181"/>
        <v>10</v>
      </c>
      <c r="B597" t="str">
        <f t="shared" si="185"/>
        <v>23</v>
      </c>
      <c r="C597" s="1">
        <v>45407</v>
      </c>
      <c r="D597" t="str">
        <f>CLEAN("4986-13-70")</f>
        <v>4986-13-70</v>
      </c>
      <c r="E597" t="str">
        <f>CLEAN("206  ")</f>
        <v xml:space="preserve">206  </v>
      </c>
      <c r="F597" t="str">
        <f>CLEAN("$100,000-$249,999        ")</f>
        <v xml:space="preserve">$100,000-$249,999        </v>
      </c>
      <c r="G597" t="str">
        <f>CLEAN("MIS")</f>
        <v>MIS</v>
      </c>
      <c r="H597" t="str">
        <f>CLEAN("NONLET CONSTR/REAL ESTATE")</f>
        <v>NONLET CONSTR/REAL ESTATE</v>
      </c>
      <c r="I597" t="str">
        <f>CLEAN("CONST/CRP/MISC                     ")</f>
        <v xml:space="preserve">CONST/CRP/MISC                     </v>
      </c>
      <c r="J597" t="str">
        <f t="shared" si="186"/>
        <v>LOC STR</v>
      </c>
      <c r="K597" t="str">
        <f>CLEAN("FOND DU LAC                   ")</f>
        <v xml:space="preserve">FOND DU LAC                   </v>
      </c>
      <c r="L597" t="str">
        <f>CLEAN("C FOND DU LAC STREET LIGHTING      ")</f>
        <v xml:space="preserve">C FOND DU LAC STREET LIGHTING      </v>
      </c>
      <c r="M597" t="str">
        <f>CLEAN("C FDL, VARIOUS STREET LOCATIONS    ")</f>
        <v xml:space="preserve">C FDL, VARIOUS STREET LOCATIONS    </v>
      </c>
      <c r="N597">
        <v>0</v>
      </c>
      <c r="O597" t="str">
        <f t="shared" si="184"/>
        <v xml:space="preserve">          </v>
      </c>
      <c r="P597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598" spans="1:16" x14ac:dyDescent="0.25">
      <c r="A598" t="str">
        <f t="shared" si="181"/>
        <v>10</v>
      </c>
      <c r="B598" t="str">
        <f t="shared" si="185"/>
        <v>23</v>
      </c>
      <c r="C598" s="1">
        <v>45335</v>
      </c>
      <c r="D598" t="str">
        <f>CLEAN("4987-12-71")</f>
        <v>4987-12-71</v>
      </c>
      <c r="E598" t="str">
        <f>CLEAN("205  ")</f>
        <v xml:space="preserve">205  </v>
      </c>
      <c r="F598" t="str">
        <f>CLEAN("$750,000 - $999,999      ")</f>
        <v xml:space="preserve">$750,000 - $999,999      </v>
      </c>
      <c r="G598" t="str">
        <f>CLEAN("LET")</f>
        <v>LET</v>
      </c>
      <c r="H598" t="str">
        <f>CLEAN("LET CONSTRUCTION         ")</f>
        <v xml:space="preserve">LET CONSTRUCTION         </v>
      </c>
      <c r="I598" t="str">
        <f>CLEAN("CONST OPS/BRRPL                    ")</f>
        <v xml:space="preserve">CONST OPS/BRRPL                    </v>
      </c>
      <c r="J598" t="str">
        <f t="shared" si="186"/>
        <v>LOC STR</v>
      </c>
      <c r="K598" t="str">
        <f>CLEAN("BROWN                         ")</f>
        <v xml:space="preserve">BROWN                         </v>
      </c>
      <c r="L598" t="str">
        <f>CLEAN("C GREEN BAY, LARSEN ROAD           ")</f>
        <v xml:space="preserve">C GREEN BAY, LARSEN ROAD           </v>
      </c>
      <c r="M598" t="str">
        <f>CLEAN("BEAVER DAM CREEK BRIDGE            ")</f>
        <v xml:space="preserve">BEAVER DAM CREEK BRIDGE            </v>
      </c>
      <c r="N598">
        <v>2.5000000000000001E-2</v>
      </c>
      <c r="O598" t="str">
        <f t="shared" si="184"/>
        <v xml:space="preserve">          </v>
      </c>
      <c r="P59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9" spans="1:16" x14ac:dyDescent="0.25">
      <c r="A599" t="str">
        <f t="shared" si="181"/>
        <v>10</v>
      </c>
      <c r="B599" t="str">
        <f t="shared" si="185"/>
        <v>23</v>
      </c>
      <c r="C599" s="1">
        <v>45437</v>
      </c>
      <c r="D599" t="str">
        <f>CLEAN("4987-13-71")</f>
        <v>4987-13-71</v>
      </c>
      <c r="E599" t="str">
        <f>CLEAN("290  ")</f>
        <v xml:space="preserve">290  </v>
      </c>
      <c r="F599" t="str">
        <f>CLEAN("$1,000,000 - $1,999,999  ")</f>
        <v xml:space="preserve">$1,000,000 - $1,999,999  </v>
      </c>
      <c r="G599" t="str">
        <f>CLEAN("LLC")</f>
        <v>LLC</v>
      </c>
      <c r="H599" t="str">
        <f>CLEAN("NONLET CONSTR/REAL ESTATE")</f>
        <v>NONLET CONSTR/REAL ESTATE</v>
      </c>
      <c r="I599" t="str">
        <f>CLEAN("CONS OPS/MISC BIKE/PED RESURFACE   ")</f>
        <v xml:space="preserve">CONS OPS/MISC BIKE/PED RESURFACE   </v>
      </c>
      <c r="J599" t="str">
        <f>CLEAN("NON HWY")</f>
        <v>NON HWY</v>
      </c>
      <c r="K599" t="str">
        <f>CLEAN("BROWN                         ")</f>
        <v xml:space="preserve">BROWN                         </v>
      </c>
      <c r="L599" t="str">
        <f>CLEAN("BROWN COUNTY FOX RIVER STATE TRAIL ")</f>
        <v xml:space="preserve">BROWN COUNTY FOX RIVER STATE TRAIL </v>
      </c>
      <c r="M599" t="str">
        <f>CLEAN("PORLIER ST - CTH X                 ")</f>
        <v xml:space="preserve">PORLIER ST - CTH X                 </v>
      </c>
      <c r="N599">
        <v>6</v>
      </c>
      <c r="O599" t="str">
        <f t="shared" si="184"/>
        <v xml:space="preserve">          </v>
      </c>
      <c r="P599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600" spans="1:16" x14ac:dyDescent="0.25">
      <c r="A600" t="str">
        <f t="shared" si="181"/>
        <v>10</v>
      </c>
      <c r="B600" t="str">
        <f t="shared" si="185"/>
        <v>23</v>
      </c>
      <c r="C600" s="1">
        <v>45437</v>
      </c>
      <c r="D600" t="str">
        <f>CLEAN("4989-02-71")</f>
        <v>4989-02-71</v>
      </c>
      <c r="E600" t="str">
        <f>CLEAN("290  ")</f>
        <v xml:space="preserve">290  </v>
      </c>
      <c r="F600" t="str">
        <f>CLEAN("$750,000 - $999,999      ")</f>
        <v xml:space="preserve">$750,000 - $999,999      </v>
      </c>
      <c r="G600" t="str">
        <f>CLEAN("LLC")</f>
        <v>LLC</v>
      </c>
      <c r="H600" t="str">
        <f>CLEAN("NONLET CONSTR/REAL ESTATE")</f>
        <v>NONLET CONSTR/REAL ESTATE</v>
      </c>
      <c r="I600" t="str">
        <f>CLEAN("CONST/MISC BIKE/PED TRAIL          ")</f>
        <v xml:space="preserve">CONST/MISC BIKE/PED TRAIL          </v>
      </c>
      <c r="J600" t="str">
        <f>CLEAN("NON HWY")</f>
        <v>NON HWY</v>
      </c>
      <c r="K600" t="str">
        <f>CLEAN("OUTAGAMIE                     ")</f>
        <v xml:space="preserve">OUTAGAMIE                     </v>
      </c>
      <c r="L600" t="str">
        <f>CLEAN("V KIMBERLY, MARCELLA ST TRAIL      ")</f>
        <v xml:space="preserve">V KIMBERLY, MARCELLA ST TRAIL      </v>
      </c>
      <c r="M600" t="str">
        <f>CLEAN("COBBLESTONE LN - W KIMBERLY AVE    ")</f>
        <v xml:space="preserve">COBBLESTONE LN - W KIMBERLY AVE    </v>
      </c>
      <c r="N600">
        <v>1</v>
      </c>
      <c r="O600" t="str">
        <f t="shared" si="184"/>
        <v xml:space="preserve">          </v>
      </c>
      <c r="P600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601" spans="1:16" x14ac:dyDescent="0.25">
      <c r="A601" t="str">
        <f t="shared" si="181"/>
        <v>10</v>
      </c>
      <c r="B601" t="str">
        <f t="shared" si="185"/>
        <v>23</v>
      </c>
      <c r="C601" s="1">
        <v>45608</v>
      </c>
      <c r="D601" t="str">
        <f>CLEAN("4992-00-60")</f>
        <v>4992-00-60</v>
      </c>
      <c r="E601" t="str">
        <f>CLEAN("206  ")</f>
        <v xml:space="preserve">206  </v>
      </c>
      <c r="F601" t="str">
        <f>CLEAN("$3,000,000 - $3,999,999  ")</f>
        <v xml:space="preserve">$3,000,000 - $3,999,999  </v>
      </c>
      <c r="G601" t="str">
        <f>CLEAN("LET")</f>
        <v>LET</v>
      </c>
      <c r="H601" t="str">
        <f>CLEAN("LET CONSTRUCTION         ")</f>
        <v xml:space="preserve">LET CONSTRUCTION         </v>
      </c>
      <c r="I601" t="str">
        <f>CLEAN("CONST OPS/RECST                    ")</f>
        <v xml:space="preserve">CONST OPS/RECST                    </v>
      </c>
      <c r="J601" t="str">
        <f>CLEAN("LOC STR")</f>
        <v>LOC STR</v>
      </c>
      <c r="K601" t="str">
        <f>CLEAN("WINNEBAGO                     ")</f>
        <v xml:space="preserve">WINNEBAGO                     </v>
      </c>
      <c r="L601" t="str">
        <f>CLEAN("C MENASHA, RACINE STREET           ")</f>
        <v xml:space="preserve">C MENASHA, RACINE STREET           </v>
      </c>
      <c r="M601" t="str">
        <f>CLEAN("THIRD STREET TO NINTH STREET       ")</f>
        <v xml:space="preserve">THIRD STREET TO NINTH STREET       </v>
      </c>
      <c r="N601">
        <v>0.74</v>
      </c>
      <c r="O601" t="str">
        <f t="shared" si="184"/>
        <v xml:space="preserve">          </v>
      </c>
      <c r="P60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02" spans="1:16" x14ac:dyDescent="0.25">
      <c r="A602" t="str">
        <f t="shared" si="181"/>
        <v>10</v>
      </c>
      <c r="B602" t="str">
        <f t="shared" si="185"/>
        <v>23</v>
      </c>
      <c r="C602" s="1">
        <v>45498</v>
      </c>
      <c r="D602" t="str">
        <f>CLEAN("4992-00-67")</f>
        <v>4992-00-67</v>
      </c>
      <c r="E602" t="str">
        <f>CLEAN("206  ")</f>
        <v xml:space="preserve">206  </v>
      </c>
      <c r="F602" t="str">
        <f>CLEAN("$100,000-$249,999        ")</f>
        <v xml:space="preserve">$100,000-$249,999        </v>
      </c>
      <c r="G602" t="str">
        <f>CLEAN("R/R")</f>
        <v>R/R</v>
      </c>
      <c r="H602" t="str">
        <f>CLEAN("NONLET CONSTR/REAL ESTATE")</f>
        <v>NONLET CONSTR/REAL ESTATE</v>
      </c>
      <c r="I602" t="str">
        <f>CLEAN("CONST/MISC RR SIG/GATES 690283C    ")</f>
        <v xml:space="preserve">CONST/MISC RR SIG/GATES 690283C    </v>
      </c>
      <c r="J602" t="str">
        <f>CLEAN("LOC STR")</f>
        <v>LOC STR</v>
      </c>
      <c r="K602" t="str">
        <f>CLEAN("WINNEBAGO                     ")</f>
        <v xml:space="preserve">WINNEBAGO                     </v>
      </c>
      <c r="L602" t="str">
        <f>CLEAN("C MENASHA, RACINE STREET           ")</f>
        <v xml:space="preserve">C MENASHA, RACINE STREET           </v>
      </c>
      <c r="M602" t="str">
        <f>CLEAN("RACINE WCL RR XING SIG/GATE 690283C")</f>
        <v>RACINE WCL RR XING SIG/GATE 690283C</v>
      </c>
      <c r="N602">
        <v>0</v>
      </c>
      <c r="O602" t="str">
        <f t="shared" si="184"/>
        <v xml:space="preserve">          </v>
      </c>
      <c r="P60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03" spans="1:16" x14ac:dyDescent="0.25">
      <c r="A603" t="str">
        <f t="shared" si="181"/>
        <v>10</v>
      </c>
      <c r="B603" t="str">
        <f t="shared" si="185"/>
        <v>23</v>
      </c>
      <c r="C603" s="1">
        <v>45407</v>
      </c>
      <c r="D603" t="str">
        <f>CLEAN("4992-00-68")</f>
        <v>4992-00-68</v>
      </c>
      <c r="E603" t="str">
        <f>CLEAN("206  ")</f>
        <v xml:space="preserve">206  </v>
      </c>
      <c r="F603" t="str">
        <f>CLEAN("$100,000-$249,999        ")</f>
        <v xml:space="preserve">$100,000-$249,999        </v>
      </c>
      <c r="G603" t="str">
        <f>CLEAN("MIS")</f>
        <v>MIS</v>
      </c>
      <c r="H603" t="str">
        <f>CLEAN("NONLET CONSTR/REAL ESTATE")</f>
        <v>NONLET CONSTR/REAL ESTATE</v>
      </c>
      <c r="I603" t="str">
        <f>CLEAN("CONST/CRP/MISC                     ")</f>
        <v xml:space="preserve">CONST/CRP/MISC                     </v>
      </c>
      <c r="J603" t="str">
        <f>CLEAN("LOC STR")</f>
        <v>LOC STR</v>
      </c>
      <c r="K603" t="str">
        <f>CLEAN("CALUMET                       ")</f>
        <v xml:space="preserve">CALUMET                       </v>
      </c>
      <c r="L603" t="str">
        <f>CLEAN("C MENASHA, STREET LIGHTING         ")</f>
        <v xml:space="preserve">C MENASHA, STREET LIGHTING         </v>
      </c>
      <c r="M603" t="str">
        <f>CLEAN("C MENASHA, VARIOUS STREET LOCATIONS")</f>
        <v>C MENASHA, VARIOUS STREET LOCATIONS</v>
      </c>
      <c r="N603">
        <v>0</v>
      </c>
      <c r="O603" t="str">
        <f t="shared" si="184"/>
        <v xml:space="preserve">          </v>
      </c>
      <c r="P603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604" spans="1:16" x14ac:dyDescent="0.25">
      <c r="A604" t="str">
        <f t="shared" si="181"/>
        <v>10</v>
      </c>
      <c r="B604" t="str">
        <f t="shared" si="185"/>
        <v>23</v>
      </c>
      <c r="C604" s="1">
        <v>45608</v>
      </c>
      <c r="D604" t="str">
        <f>CLEAN("4993-01-01")</f>
        <v>4993-01-01</v>
      </c>
      <c r="E604" t="str">
        <f>CLEAN("206  ")</f>
        <v xml:space="preserve">206  </v>
      </c>
      <c r="F604" t="str">
        <f>CLEAN("$7,000,000 - $7,999,999  ")</f>
        <v xml:space="preserve">$7,000,000 - $7,999,999  </v>
      </c>
      <c r="G604" t="str">
        <f>CLEAN("LET")</f>
        <v>LET</v>
      </c>
      <c r="H604" t="str">
        <f>CLEAN("LET CONSTRUCTION         ")</f>
        <v xml:space="preserve">LET CONSTRUCTION         </v>
      </c>
      <c r="I604" t="str">
        <f>CLEAN("CNST OPS/RECST                     ")</f>
        <v xml:space="preserve">CNST OPS/RECST                     </v>
      </c>
      <c r="J604" t="str">
        <f>CLEAN("LOC STR")</f>
        <v>LOC STR</v>
      </c>
      <c r="K604" t="str">
        <f>CLEAN("WINNEBAGO                     ")</f>
        <v xml:space="preserve">WINNEBAGO                     </v>
      </c>
      <c r="L604" t="str">
        <f>CLEAN("C NEENAH, COMMERCIAL STREET        ")</f>
        <v xml:space="preserve">C NEENAH, COMMERCIAL STREET        </v>
      </c>
      <c r="M604" t="str">
        <f>CLEAN("STANLEY STREET TO TYLER STREET     ")</f>
        <v xml:space="preserve">STANLEY STREET TO TYLER STREET     </v>
      </c>
      <c r="N604">
        <v>1.47</v>
      </c>
      <c r="O604" t="str">
        <f t="shared" si="184"/>
        <v xml:space="preserve">          </v>
      </c>
      <c r="P604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05" spans="1:16" x14ac:dyDescent="0.25">
      <c r="A605" t="str">
        <f t="shared" si="181"/>
        <v>10</v>
      </c>
      <c r="B605" t="str">
        <f t="shared" si="185"/>
        <v>23</v>
      </c>
      <c r="C605" s="1">
        <v>45347</v>
      </c>
      <c r="D605" t="str">
        <f>CLEAN("4994-07-21")</f>
        <v>4994-07-21</v>
      </c>
      <c r="E605" t="str">
        <f>CLEAN("303  ")</f>
        <v xml:space="preserve">303  </v>
      </c>
      <c r="F605" t="str">
        <f>CLEAN("$250,000 - $499,999      ")</f>
        <v xml:space="preserve">$250,000 - $499,999      </v>
      </c>
      <c r="G605" t="str">
        <f>CLEAN("R/E")</f>
        <v>R/E</v>
      </c>
      <c r="H605" t="str">
        <f>CLEAN("NONLET CONSTR/REAL ESTATE")</f>
        <v>NONLET CONSTR/REAL ESTATE</v>
      </c>
      <c r="I605" t="str">
        <f>CLEAN("RE/ACQUISITION                     ")</f>
        <v xml:space="preserve">RE/ACQUISITION                     </v>
      </c>
      <c r="J605" t="str">
        <f>CLEAN("LOC STR")</f>
        <v>LOC STR</v>
      </c>
      <c r="K605" t="str">
        <f>CLEAN("WINNEBAGO                     ")</f>
        <v xml:space="preserve">WINNEBAGO                     </v>
      </c>
      <c r="L605" t="str">
        <f>CLEAN("OREGON/JACKSON ST, C OF OSHKOSH    ")</f>
        <v xml:space="preserve">OREGON/JACKSON ST, C OF OSHKOSH    </v>
      </c>
      <c r="M605" t="str">
        <f>CLEAN("FOX RIVER BRIDGE AND APPROACHES    ")</f>
        <v xml:space="preserve">FOX RIVER BRIDGE AND APPROACHES    </v>
      </c>
      <c r="N605">
        <v>0.124</v>
      </c>
      <c r="O605" t="str">
        <f t="shared" si="184"/>
        <v xml:space="preserve">          </v>
      </c>
      <c r="P605" t="str">
        <f>CLEAN("SHR LARGE BRIDGES                                                                                   ")</f>
        <v xml:space="preserve">SHR LARGE BRIDGES                                                                                   </v>
      </c>
    </row>
    <row r="606" spans="1:16" x14ac:dyDescent="0.25">
      <c r="A606" t="str">
        <f t="shared" si="181"/>
        <v>10</v>
      </c>
      <c r="B606" t="str">
        <f t="shared" si="185"/>
        <v>23</v>
      </c>
      <c r="C606" s="1">
        <v>45608</v>
      </c>
      <c r="D606" t="str">
        <f>CLEAN("4995-03-02")</f>
        <v>4995-03-02</v>
      </c>
      <c r="E606" t="str">
        <f>CLEAN("290  ")</f>
        <v xml:space="preserve">290  </v>
      </c>
      <c r="F606" t="str">
        <f>CLEAN("$1,000,000 - $1,999,999  ")</f>
        <v xml:space="preserve">$1,000,000 - $1,999,999  </v>
      </c>
      <c r="G606" t="str">
        <f>CLEAN("LET")</f>
        <v>LET</v>
      </c>
      <c r="H606" t="str">
        <f>CLEAN("LET CONSTRUCTION         ")</f>
        <v xml:space="preserve">LET CONSTRUCTION         </v>
      </c>
      <c r="I606" t="str">
        <f>CLEAN("CONST/ MISC-SIDEWALK IMPROV NMTPP  ")</f>
        <v xml:space="preserve">CONST/ MISC-SIDEWALK IMPROV NMTPP  </v>
      </c>
      <c r="J606" t="str">
        <f>CLEAN("CTH E  ")</f>
        <v xml:space="preserve">CTH E  </v>
      </c>
      <c r="K606" t="str">
        <f>CLEAN("SHEBOYGAN                     ")</f>
        <v xml:space="preserve">SHEBOYGAN                     </v>
      </c>
      <c r="L606" t="str">
        <f>CLEAN("CITY OF PLYMOUTH                   ")</f>
        <v xml:space="preserve">CITY OF PLYMOUTH                   </v>
      </c>
      <c r="M606" t="str">
        <f>CLEAN("SIDEWALK GAP IMPROVEMENTS          ")</f>
        <v xml:space="preserve">SIDEWALK GAP IMPROVEMENTS          </v>
      </c>
      <c r="N606">
        <v>0.76200000000000001</v>
      </c>
      <c r="O606" t="str">
        <f t="shared" si="184"/>
        <v xml:space="preserve">          </v>
      </c>
      <c r="P606" t="str">
        <f>CLEAN("LOCAL ENHANCEMENTS                                                                                  ")</f>
        <v xml:space="preserve">LOCAL ENHANCEMENTS                                                                                  </v>
      </c>
    </row>
    <row r="607" spans="1:16" x14ac:dyDescent="0.25">
      <c r="A607" t="str">
        <f t="shared" si="181"/>
        <v>10</v>
      </c>
      <c r="B607" t="str">
        <f t="shared" ref="B607:B638" si="187">CLEAN("21")</f>
        <v>21</v>
      </c>
      <c r="C607" s="1">
        <v>45590</v>
      </c>
      <c r="D607" t="str">
        <f>CLEAN("5010-04-22")</f>
        <v>5010-04-22</v>
      </c>
      <c r="E607" t="str">
        <f t="shared" ref="E607:E612" si="188">CLEAN("303  ")</f>
        <v xml:space="preserve">303  </v>
      </c>
      <c r="F607" t="str">
        <f>CLEAN("$0 - $99,999             ")</f>
        <v xml:space="preserve">$0 - $99,999             </v>
      </c>
      <c r="G607" t="str">
        <f>CLEAN("R/E")</f>
        <v>R/E</v>
      </c>
      <c r="H607" t="str">
        <f>CLEAN("NONLET CONSTR/REAL ESTATE")</f>
        <v>NONLET CONSTR/REAL ESTATE</v>
      </c>
      <c r="I607" t="str">
        <f>CLEAN("RE OPS/ 5010-04-72/ PVRPLA         ")</f>
        <v xml:space="preserve">RE OPS/ 5010-04-72/ PVRPLA         </v>
      </c>
      <c r="J607" t="str">
        <f>CLEAN("STH 080")</f>
        <v>STH 080</v>
      </c>
      <c r="K607" t="str">
        <f>CLEAN("JUNEAU                        ")</f>
        <v xml:space="preserve">JUNEAU                        </v>
      </c>
      <c r="L607" t="str">
        <f>CLEAN("HILLSBORO - NEW LISBON             ")</f>
        <v xml:space="preserve">HILLSBORO - NEW LISBON             </v>
      </c>
      <c r="M607" t="str">
        <f>CLEAN("STH 33 TO BARABOO RIVER B-29-108   ")</f>
        <v xml:space="preserve">STH 33 TO BARABOO RIVER B-29-108   </v>
      </c>
      <c r="N607">
        <v>0.128</v>
      </c>
      <c r="O607" t="str">
        <f t="shared" si="184"/>
        <v xml:space="preserve">          </v>
      </c>
      <c r="P6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8" spans="1:16" x14ac:dyDescent="0.25">
      <c r="A608" t="str">
        <f t="shared" si="181"/>
        <v>10</v>
      </c>
      <c r="B608" t="str">
        <f t="shared" si="187"/>
        <v>21</v>
      </c>
      <c r="C608" s="1">
        <v>45285</v>
      </c>
      <c r="D608" t="str">
        <f>CLEAN("5032-00-20")</f>
        <v>5032-00-20</v>
      </c>
      <c r="E608" t="str">
        <f t="shared" si="188"/>
        <v xml:space="preserve">303  </v>
      </c>
      <c r="F608" t="str">
        <f>CLEAN("$0 - $99,999             ")</f>
        <v xml:space="preserve">$0 - $99,999             </v>
      </c>
      <c r="G608" t="str">
        <f>CLEAN("R/E")</f>
        <v>R/E</v>
      </c>
      <c r="H608" t="str">
        <f>CLEAN("NONLET CONSTR/REAL ESTATE")</f>
        <v>NONLET CONSTR/REAL ESTATE</v>
      </c>
      <c r="I608" t="str">
        <f>CLEAN("RE OPS/ 5032-00-70/ RSRF           ")</f>
        <v xml:space="preserve">RE OPS/ 5032-00-70/ RSRF           </v>
      </c>
      <c r="J608" t="str">
        <f>CLEAN("STH 033")</f>
        <v>STH 033</v>
      </c>
      <c r="K608" t="str">
        <f>CLEAN("JUNEAU                        ")</f>
        <v xml:space="preserve">JUNEAU                        </v>
      </c>
      <c r="L608" t="str">
        <f>CLEAN("HILLSBORO - REEDSBURG              ")</f>
        <v xml:space="preserve">HILLSBORO - REEDSBURG              </v>
      </c>
      <c r="M608" t="str">
        <f>CLEAN("BARABOO RIVER TO V WONEWOC S LIMIT ")</f>
        <v xml:space="preserve">BARABOO RIVER TO V WONEWOC S LIMIT </v>
      </c>
      <c r="N608">
        <v>4.5380000000000003</v>
      </c>
      <c r="O608" t="str">
        <f t="shared" si="184"/>
        <v xml:space="preserve">          </v>
      </c>
      <c r="P6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9" spans="1:16" x14ac:dyDescent="0.25">
      <c r="A609" t="str">
        <f t="shared" si="181"/>
        <v>10</v>
      </c>
      <c r="B609" t="str">
        <f t="shared" si="187"/>
        <v>21</v>
      </c>
      <c r="C609" s="1">
        <v>45285</v>
      </c>
      <c r="D609" t="str">
        <f>CLEAN("5040-03-21")</f>
        <v>5040-03-21</v>
      </c>
      <c r="E609" t="str">
        <f t="shared" si="188"/>
        <v xml:space="preserve">303  </v>
      </c>
      <c r="F609" t="str">
        <f>CLEAN("$0 - $99,999             ")</f>
        <v xml:space="preserve">$0 - $99,999             </v>
      </c>
      <c r="G609" t="str">
        <f>CLEAN("R/E")</f>
        <v>R/E</v>
      </c>
      <c r="H609" t="str">
        <f>CLEAN("NONLET CONSTR/REAL ESTATE")</f>
        <v>NONLET CONSTR/REAL ESTATE</v>
      </c>
      <c r="I609" t="str">
        <f>CLEAN("RE OPS/ 5040-03-71/ PVRPLA         ")</f>
        <v xml:space="preserve">RE OPS/ 5040-03-71/ PVRPLA         </v>
      </c>
      <c r="J609" t="str">
        <f>CLEAN("STH 080")</f>
        <v>STH 080</v>
      </c>
      <c r="K609" t="str">
        <f>CLEAN("VERNON                        ")</f>
        <v xml:space="preserve">VERNON                        </v>
      </c>
      <c r="L609" t="str">
        <f>CLEAN("HILLSBORO - NEW LISBON             ")</f>
        <v xml:space="preserve">HILLSBORO - NEW LISBON             </v>
      </c>
      <c r="M609" t="str">
        <f>CLEAN("S FORK BARABOO R BRIDGE TO STH 33  ")</f>
        <v xml:space="preserve">S FORK BARABOO R BRIDGE TO STH 33  </v>
      </c>
      <c r="N609">
        <v>0.59399999999999997</v>
      </c>
      <c r="O609" t="str">
        <f t="shared" si="184"/>
        <v xml:space="preserve">          </v>
      </c>
      <c r="P60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0" spans="1:16" x14ac:dyDescent="0.25">
      <c r="A610" t="str">
        <f t="shared" si="181"/>
        <v>10</v>
      </c>
      <c r="B610" t="str">
        <f t="shared" si="187"/>
        <v>21</v>
      </c>
      <c r="C610" s="1">
        <v>45621</v>
      </c>
      <c r="D610" t="str">
        <f>CLEAN("5040-03-22")</f>
        <v>5040-03-22</v>
      </c>
      <c r="E610" t="str">
        <f t="shared" si="188"/>
        <v xml:space="preserve">303  </v>
      </c>
      <c r="F610" t="str">
        <f>CLEAN("$0 - $99,999             ")</f>
        <v xml:space="preserve">$0 - $99,999             </v>
      </c>
      <c r="G610" t="str">
        <f>CLEAN("R/E")</f>
        <v>R/E</v>
      </c>
      <c r="H610" t="str">
        <f>CLEAN("NONLET CONSTR/REAL ESTATE")</f>
        <v>NONLET CONSTR/REAL ESTATE</v>
      </c>
      <c r="I610" t="str">
        <f>CLEAN("RE OPS/ 5040-03-72/ RSRF30         ")</f>
        <v xml:space="preserve">RE OPS/ 5040-03-72/ RSRF30         </v>
      </c>
      <c r="J610" t="str">
        <f>CLEAN("STH 080")</f>
        <v>STH 080</v>
      </c>
      <c r="K610" t="str">
        <f>CLEAN("RICHLAND                      ")</f>
        <v xml:space="preserve">RICHLAND                      </v>
      </c>
      <c r="L610" t="str">
        <f>CLEAN("RICHLAND CENTER - HILLSBORO        ")</f>
        <v xml:space="preserve">RICHLAND CENTER - HILLSBORO        </v>
      </c>
      <c r="M610" t="str">
        <f>CLEAN("EIGHTH STREET TO CTH C             ")</f>
        <v xml:space="preserve">EIGHTH STREET TO CTH C             </v>
      </c>
      <c r="N610">
        <v>11.098000000000001</v>
      </c>
      <c r="O610" t="str">
        <f t="shared" si="184"/>
        <v xml:space="preserve">          </v>
      </c>
      <c r="P61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1" spans="1:16" x14ac:dyDescent="0.25">
      <c r="A611" t="str">
        <f t="shared" si="181"/>
        <v>10</v>
      </c>
      <c r="B611" t="str">
        <f t="shared" si="187"/>
        <v>21</v>
      </c>
      <c r="C611" s="1">
        <v>45636</v>
      </c>
      <c r="D611" t="str">
        <f>CLEAN("5040-03-70")</f>
        <v>5040-03-70</v>
      </c>
      <c r="E611" t="str">
        <f t="shared" si="188"/>
        <v xml:space="preserve">303  </v>
      </c>
      <c r="F611" t="str">
        <f>CLEAN("$7,000,000 - $7,999,999  ")</f>
        <v xml:space="preserve">$7,000,000 - $7,999,999  </v>
      </c>
      <c r="G611" t="str">
        <f t="shared" ref="G611:G617" si="189">CLEAN("LET")</f>
        <v>LET</v>
      </c>
      <c r="H611" t="str">
        <f t="shared" ref="H611:H617" si="190">CLEAN("LET CONSTRUCTION         ")</f>
        <v xml:space="preserve">LET CONSTRUCTION         </v>
      </c>
      <c r="I611" t="str">
        <f>CLEAN("CONST/MILL &amp; O'LAY/BRI O'LAYS/RSRF ")</f>
        <v xml:space="preserve">CONST/MILL &amp; O'LAY/BRI O'LAYS/RSRF </v>
      </c>
      <c r="J611" t="str">
        <f>CLEAN("STH 080")</f>
        <v>STH 080</v>
      </c>
      <c r="K611" t="str">
        <f>CLEAN("VERNON                        ")</f>
        <v xml:space="preserve">VERNON                        </v>
      </c>
      <c r="L611" t="str">
        <f>CLEAN("RICHLAND CENTER - HILLSBORO        ")</f>
        <v xml:space="preserve">RICHLAND CENTER - HILLSBORO        </v>
      </c>
      <c r="M611" t="str">
        <f>CLEAN("CTH C TO S FORK BARABOO R STRUCTURE")</f>
        <v>CTH C TO S FORK BARABOO R STRUCTURE</v>
      </c>
      <c r="N611">
        <v>11.666</v>
      </c>
      <c r="O611" t="str">
        <f t="shared" si="184"/>
        <v xml:space="preserve">          </v>
      </c>
      <c r="P61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12" spans="1:16" x14ac:dyDescent="0.25">
      <c r="A612" t="str">
        <f t="shared" si="181"/>
        <v>10</v>
      </c>
      <c r="B612" t="str">
        <f t="shared" si="187"/>
        <v>21</v>
      </c>
      <c r="C612" s="1">
        <v>45636</v>
      </c>
      <c r="D612" t="str">
        <f>CLEAN("5040-03-70")</f>
        <v>5040-03-70</v>
      </c>
      <c r="E612" t="str">
        <f t="shared" si="188"/>
        <v xml:space="preserve">303  </v>
      </c>
      <c r="F612" t="str">
        <f>CLEAN("$7,000,000 - $7,999,999  ")</f>
        <v xml:space="preserve">$7,000,000 - $7,999,999  </v>
      </c>
      <c r="G612" t="str">
        <f t="shared" si="189"/>
        <v>LET</v>
      </c>
      <c r="H612" t="str">
        <f t="shared" si="190"/>
        <v xml:space="preserve">LET CONSTRUCTION         </v>
      </c>
      <c r="I612" t="str">
        <f>CLEAN("CONST/MILL &amp; O'LAY/BRI O'LAYS/RSRF ")</f>
        <v xml:space="preserve">CONST/MILL &amp; O'LAY/BRI O'LAYS/RSRF </v>
      </c>
      <c r="J612" t="str">
        <f>CLEAN("STH 080")</f>
        <v>STH 080</v>
      </c>
      <c r="K612" t="str">
        <f>CLEAN("VERNON                        ")</f>
        <v xml:space="preserve">VERNON                        </v>
      </c>
      <c r="L612" t="str">
        <f>CLEAN("RICHLAND CENTER - HILLSBORO        ")</f>
        <v xml:space="preserve">RICHLAND CENTER - HILLSBORO        </v>
      </c>
      <c r="M612" t="str">
        <f>CLEAN("CTH C TO S FORK BARABOO R STRUCTURE")</f>
        <v>CTH C TO S FORK BARABOO R STRUCTURE</v>
      </c>
      <c r="N612">
        <v>11.666</v>
      </c>
      <c r="O612" t="str">
        <f t="shared" si="184"/>
        <v xml:space="preserve">          </v>
      </c>
      <c r="P6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3" spans="1:16" x14ac:dyDescent="0.25">
      <c r="A613" t="str">
        <f t="shared" si="181"/>
        <v>10</v>
      </c>
      <c r="B613" t="str">
        <f t="shared" si="187"/>
        <v>21</v>
      </c>
      <c r="C613" s="1">
        <v>45608</v>
      </c>
      <c r="D613" t="str">
        <f>CLEAN("5057-00-72")</f>
        <v>5057-00-72</v>
      </c>
      <c r="E613" t="str">
        <f>CLEAN("205  ")</f>
        <v xml:space="preserve">205  </v>
      </c>
      <c r="F613" t="str">
        <f>CLEAN("$250,000 - $499,999      ")</f>
        <v xml:space="preserve">$250,000 - $499,999      </v>
      </c>
      <c r="G613" t="str">
        <f t="shared" si="189"/>
        <v>LET</v>
      </c>
      <c r="H613" t="str">
        <f t="shared" si="190"/>
        <v xml:space="preserve">LET CONSTRUCTION         </v>
      </c>
      <c r="I613" t="str">
        <f>CLEAN("CONST OPS/BRIDGE REPLACEMENT       ")</f>
        <v xml:space="preserve">CONST OPS/BRIDGE REPLACEMENT       </v>
      </c>
      <c r="J613" t="str">
        <f>CLEAN("CTH S  ")</f>
        <v xml:space="preserve">CTH S  </v>
      </c>
      <c r="K613" t="str">
        <f>CLEAN("CRAWFORD                      ")</f>
        <v xml:space="preserve">CRAWFORD                      </v>
      </c>
      <c r="L613" t="str">
        <f>CLEAN("USH 61 - CTH F (CTH S)             ")</f>
        <v xml:space="preserve">USH 61 - CTH F (CTH S)             </v>
      </c>
      <c r="M613" t="str">
        <f>CLEAN("W FORK KNAPP CREEK BR B-12-0257    ")</f>
        <v xml:space="preserve">W FORK KNAPP CREEK BR B-12-0257    </v>
      </c>
      <c r="N613">
        <v>0</v>
      </c>
      <c r="O613" t="str">
        <f t="shared" si="184"/>
        <v xml:space="preserve">          </v>
      </c>
      <c r="P61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14" spans="1:16" x14ac:dyDescent="0.25">
      <c r="A614" t="str">
        <f t="shared" si="181"/>
        <v>10</v>
      </c>
      <c r="B614" t="str">
        <f t="shared" si="187"/>
        <v>21</v>
      </c>
      <c r="C614" s="1">
        <v>45608</v>
      </c>
      <c r="D614" t="str">
        <f>CLEAN("5069-00-70")</f>
        <v>5069-00-70</v>
      </c>
      <c r="E614" t="str">
        <f>CLEAN("206  ")</f>
        <v xml:space="preserve">206  </v>
      </c>
      <c r="F614" t="str">
        <f>CLEAN("$2,000,000 - $2,999,999  ")</f>
        <v xml:space="preserve">$2,000,000 - $2,999,999  </v>
      </c>
      <c r="G614" t="str">
        <f t="shared" si="189"/>
        <v>LET</v>
      </c>
      <c r="H614" t="str">
        <f t="shared" si="190"/>
        <v xml:space="preserve">LET CONSTRUCTION         </v>
      </c>
      <c r="I614" t="str">
        <f>CLEAN("DESIGN/PLAN CHECK REVIEW/PVRPLA    ")</f>
        <v xml:space="preserve">DESIGN/PLAN CHECK REVIEW/PVRPLA    </v>
      </c>
      <c r="J614" t="str">
        <f>CLEAN("CTH B  ")</f>
        <v xml:space="preserve">CTH B  </v>
      </c>
      <c r="K614" t="str">
        <f>CLEAN("LA CROSSE                     ")</f>
        <v xml:space="preserve">LA CROSSE                     </v>
      </c>
      <c r="L614" t="str">
        <f>CLEAN("IH 90 - CTH J (CTH B)              ")</f>
        <v xml:space="preserve">IH 90 - CTH J (CTH B)              </v>
      </c>
      <c r="M614" t="str">
        <f>CLEAN("IH 90 TO CTH J                     ")</f>
        <v xml:space="preserve">IH 90 TO CTH J                     </v>
      </c>
      <c r="N614">
        <v>3.524</v>
      </c>
      <c r="O614" t="str">
        <f t="shared" si="184"/>
        <v xml:space="preserve">          </v>
      </c>
      <c r="P61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15" spans="1:16" x14ac:dyDescent="0.25">
      <c r="A615" t="str">
        <f t="shared" si="181"/>
        <v>10</v>
      </c>
      <c r="B615" t="str">
        <f t="shared" si="187"/>
        <v>21</v>
      </c>
      <c r="C615" s="1">
        <v>45335</v>
      </c>
      <c r="D615" t="str">
        <f>CLEAN("5080-02-74")</f>
        <v>5080-02-74</v>
      </c>
      <c r="E615" t="str">
        <f t="shared" ref="E615:E625" si="191">CLEAN("303  ")</f>
        <v xml:space="preserve">303  </v>
      </c>
      <c r="F615" t="str">
        <f>CLEAN("$9,000,000 - $9,999,999  ")</f>
        <v xml:space="preserve">$9,000,000 - $9,999,999  </v>
      </c>
      <c r="G615" t="str">
        <f t="shared" si="189"/>
        <v>LET</v>
      </c>
      <c r="H615" t="str">
        <f t="shared" si="190"/>
        <v xml:space="preserve">LET CONSTRUCTION         </v>
      </c>
      <c r="I615" t="str">
        <f>CLEAN("CONST/ MILL AND OVERLAY            ")</f>
        <v xml:space="preserve">CONST/ MILL AND OVERLAY            </v>
      </c>
      <c r="J615" t="str">
        <f>CLEAN("STH 023")</f>
        <v>STH 023</v>
      </c>
      <c r="K615" t="str">
        <f>CLEAN("SAUK                          ")</f>
        <v xml:space="preserve">SAUK                          </v>
      </c>
      <c r="L615" t="str">
        <f>CLEAN("SPRING GREEN - REEDSBURG           ")</f>
        <v xml:space="preserve">SPRING GREEN - REEDSBURG           </v>
      </c>
      <c r="M615" t="str">
        <f>CLEAN("USH 14 TO CTH GG                   ")</f>
        <v xml:space="preserve">USH 14 TO CTH GG                   </v>
      </c>
      <c r="N615">
        <v>12.03</v>
      </c>
      <c r="O615" t="str">
        <f>CLEAN("5080-02-82")</f>
        <v>5080-02-82</v>
      </c>
      <c r="P6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6" spans="1:16" x14ac:dyDescent="0.25">
      <c r="A616" t="str">
        <f t="shared" si="181"/>
        <v>10</v>
      </c>
      <c r="B616" t="str">
        <f t="shared" si="187"/>
        <v>21</v>
      </c>
      <c r="C616" s="1">
        <v>45335</v>
      </c>
      <c r="D616" t="str">
        <f>CLEAN("5080-02-82")</f>
        <v>5080-02-82</v>
      </c>
      <c r="E616" t="str">
        <f t="shared" si="191"/>
        <v xml:space="preserve">303  </v>
      </c>
      <c r="F616" t="str">
        <f>CLEAN("$2,000,000 - $2,999,999  ")</f>
        <v xml:space="preserve">$2,000,000 - $2,999,999  </v>
      </c>
      <c r="G616" t="str">
        <f t="shared" si="189"/>
        <v>LET</v>
      </c>
      <c r="H616" t="str">
        <f t="shared" si="190"/>
        <v xml:space="preserve">LET CONSTRUCTION         </v>
      </c>
      <c r="I616" t="str">
        <f>CLEAN("CONST/REPLACE STRUCTURE            ")</f>
        <v xml:space="preserve">CONST/REPLACE STRUCTURE            </v>
      </c>
      <c r="J616" t="str">
        <f>CLEAN("STH 023")</f>
        <v>STH 023</v>
      </c>
      <c r="K616" t="str">
        <f>CLEAN("SAUK                          ")</f>
        <v xml:space="preserve">SAUK                          </v>
      </c>
      <c r="L616" t="str">
        <f>CLEAN("SPRING GREEN - REEDSBURG           ")</f>
        <v xml:space="preserve">SPRING GREEN - REEDSBURG           </v>
      </c>
      <c r="M616" t="str">
        <f>CLEAN("STRUCTURES B-56-235 &amp; B-56-236     ")</f>
        <v xml:space="preserve">STRUCTURES B-56-235 &amp; B-56-236     </v>
      </c>
      <c r="N616">
        <v>5.0000000000000001E-3</v>
      </c>
      <c r="O616" t="str">
        <f>CLEAN("5080-02-74")</f>
        <v>5080-02-74</v>
      </c>
      <c r="P61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17" spans="1:16" x14ac:dyDescent="0.25">
      <c r="A617" t="str">
        <f t="shared" si="181"/>
        <v>10</v>
      </c>
      <c r="B617" t="str">
        <f t="shared" si="187"/>
        <v>21</v>
      </c>
      <c r="C617" s="1">
        <v>45636</v>
      </c>
      <c r="D617" t="str">
        <f>CLEAN("5080-09-73")</f>
        <v>5080-09-73</v>
      </c>
      <c r="E617" t="str">
        <f t="shared" si="191"/>
        <v xml:space="preserve">303  </v>
      </c>
      <c r="F617" t="str">
        <f>CLEAN("$9,000,000 - $9,999,999  ")</f>
        <v xml:space="preserve">$9,000,000 - $9,999,999  </v>
      </c>
      <c r="G617" t="str">
        <f t="shared" si="189"/>
        <v>LET</v>
      </c>
      <c r="H617" t="str">
        <f t="shared" si="190"/>
        <v xml:space="preserve">LET CONSTRUCTION         </v>
      </c>
      <c r="I617" t="str">
        <f>CLEAN("CONST/ PAVE REPLACE                ")</f>
        <v xml:space="preserve">CONST/ PAVE REPLACE                </v>
      </c>
      <c r="J617" t="str">
        <f>CLEAN("STH 023")</f>
        <v>STH 023</v>
      </c>
      <c r="K617" t="str">
        <f>CLEAN("SAUK                          ")</f>
        <v xml:space="preserve">SAUK                          </v>
      </c>
      <c r="L617" t="str">
        <f>CLEAN("SPRING GREEN - REEDSBURG           ")</f>
        <v xml:space="preserve">SPRING GREEN - REEDSBURG           </v>
      </c>
      <c r="M617" t="str">
        <f>CLEAN("ELDER RIDGE ROAD TO CTH K          ")</f>
        <v xml:space="preserve">ELDER RIDGE ROAD TO CTH K          </v>
      </c>
      <c r="N617">
        <v>8.1199999999999992</v>
      </c>
      <c r="O617" t="str">
        <f t="shared" ref="O617:O642" si="192">CLEAN("          ")</f>
        <v xml:space="preserve">          </v>
      </c>
      <c r="P617" t="str">
        <f t="shared" ref="P617:P625" si="193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8" spans="1:16" x14ac:dyDescent="0.25">
      <c r="A618" t="str">
        <f t="shared" si="181"/>
        <v>10</v>
      </c>
      <c r="B618" t="str">
        <f t="shared" si="187"/>
        <v>21</v>
      </c>
      <c r="C618" s="1">
        <v>45285</v>
      </c>
      <c r="D618" t="str">
        <f>CLEAN("5100-01-23")</f>
        <v>5100-01-23</v>
      </c>
      <c r="E618" t="str">
        <f t="shared" si="191"/>
        <v xml:space="preserve">303  </v>
      </c>
      <c r="F618" t="str">
        <f>CLEAN("$0 - $99,999             ")</f>
        <v xml:space="preserve">$0 - $99,999             </v>
      </c>
      <c r="G618" t="str">
        <f>CLEAN("R/E")</f>
        <v>R/E</v>
      </c>
      <c r="H618" t="str">
        <f>CLEAN("NONLET CONSTR/REAL ESTATE")</f>
        <v>NONLET CONSTR/REAL ESTATE</v>
      </c>
      <c r="I618" t="str">
        <f>CLEAN("RE OPS/ 5100-01-73 /PVRPLA         ")</f>
        <v xml:space="preserve">RE OPS/ 5100-01-73 /PVRPLA         </v>
      </c>
      <c r="J618" t="str">
        <f>CLEAN("STH 033")</f>
        <v>STH 033</v>
      </c>
      <c r="K618" t="str">
        <f>CLEAN("VERNON                        ")</f>
        <v xml:space="preserve">VERNON                        </v>
      </c>
      <c r="L618" t="str">
        <f>CLEAN("HILLSBORO - REEDSBURG              ")</f>
        <v xml:space="preserve">HILLSBORO - REEDSBURG              </v>
      </c>
      <c r="M618" t="str">
        <f>CLEAN("C HILLSBORO W LIMIT TO CTH HH      ")</f>
        <v xml:space="preserve">C HILLSBORO W LIMIT TO CTH HH      </v>
      </c>
      <c r="N618">
        <v>1.04</v>
      </c>
      <c r="O618" t="str">
        <f t="shared" si="192"/>
        <v xml:space="preserve">          </v>
      </c>
      <c r="P618" t="str">
        <f t="shared" si="193"/>
        <v xml:space="preserve">STATE 3R                                                                                            </v>
      </c>
    </row>
    <row r="619" spans="1:16" x14ac:dyDescent="0.25">
      <c r="A619" t="str">
        <f t="shared" si="181"/>
        <v>10</v>
      </c>
      <c r="B619" t="str">
        <f t="shared" si="187"/>
        <v>21</v>
      </c>
      <c r="C619" s="1">
        <v>45272</v>
      </c>
      <c r="D619" t="str">
        <f>CLEAN("5100-01-60")</f>
        <v>5100-01-60</v>
      </c>
      <c r="E619" t="str">
        <f t="shared" si="191"/>
        <v xml:space="preserve">303  </v>
      </c>
      <c r="F619" t="str">
        <f>CLEAN("$6,000,000 - $6,999,999  ")</f>
        <v xml:space="preserve">$6,000,000 - $6,999,999  </v>
      </c>
      <c r="G619" t="str">
        <f>CLEAN("LET")</f>
        <v>LET</v>
      </c>
      <c r="H619" t="str">
        <f>CLEAN("LET CONSTRUCTION         ")</f>
        <v xml:space="preserve">LET CONSTRUCTION         </v>
      </c>
      <c r="I619" t="str">
        <f>CLEAN("CONST/MILL &amp; O'LAY/B-62-063/PSRS   ")</f>
        <v xml:space="preserve">CONST/MILL &amp; O'LAY/B-62-063/PSRS   </v>
      </c>
      <c r="J619" t="str">
        <f>CLEAN("STH 033")</f>
        <v>STH 033</v>
      </c>
      <c r="K619" t="str">
        <f>CLEAN("VERNON                        ")</f>
        <v xml:space="preserve">VERNON                        </v>
      </c>
      <c r="L619" t="str">
        <f>CLEAN("CASHTON - HILLSBORO                ")</f>
        <v xml:space="preserve">CASHTON - HILLSBORO                </v>
      </c>
      <c r="M619" t="str">
        <f>CLEAN("KICKAPOO R BR TO C HILLSBORO LIMIT ")</f>
        <v xml:space="preserve">KICKAPOO R BR TO C HILLSBORO LIMIT </v>
      </c>
      <c r="N619">
        <v>15.045</v>
      </c>
      <c r="O619" t="str">
        <f t="shared" si="192"/>
        <v xml:space="preserve">          </v>
      </c>
      <c r="P619" t="str">
        <f t="shared" si="193"/>
        <v xml:space="preserve">STATE 3R                                                                                            </v>
      </c>
    </row>
    <row r="620" spans="1:16" x14ac:dyDescent="0.25">
      <c r="A620" t="str">
        <f t="shared" si="181"/>
        <v>10</v>
      </c>
      <c r="B620" t="str">
        <f t="shared" si="187"/>
        <v>21</v>
      </c>
      <c r="C620" s="1">
        <v>45285</v>
      </c>
      <c r="D620" t="str">
        <f>CLEAN("5110-06-20")</f>
        <v>5110-06-20</v>
      </c>
      <c r="E620" t="str">
        <f t="shared" si="191"/>
        <v xml:space="preserve">303  </v>
      </c>
      <c r="F620" t="str">
        <f>CLEAN("$0 - $99,999             ")</f>
        <v xml:space="preserve">$0 - $99,999             </v>
      </c>
      <c r="G620" t="str">
        <f>CLEAN("R/E")</f>
        <v>R/E</v>
      </c>
      <c r="H620" t="str">
        <f>CLEAN("NONLET CONSTR/REAL ESTATE")</f>
        <v>NONLET CONSTR/REAL ESTATE</v>
      </c>
      <c r="I620" t="str">
        <f>CLEAN("RE OPS/ 5110-06-70 /RSRF           ")</f>
        <v xml:space="preserve">RE OPS/ 5110-06-70 /RSRF           </v>
      </c>
      <c r="J620" t="str">
        <f>CLEAN("STH 131")</f>
        <v>STH 131</v>
      </c>
      <c r="K620" t="str">
        <f>CLEAN("VERNON                        ")</f>
        <v xml:space="preserve">VERNON                        </v>
      </c>
      <c r="L620" t="str">
        <f>CLEAN("READSTOWN - ONTARIO                ")</f>
        <v xml:space="preserve">READSTOWN - ONTARIO                </v>
      </c>
      <c r="M620" t="str">
        <f>CLEAN("STH 82 TO STH 33/ B-62-34,-47,-187 ")</f>
        <v xml:space="preserve">STH 82 TO STH 33/ B-62-34,-47,-187 </v>
      </c>
      <c r="N620">
        <v>12.23</v>
      </c>
      <c r="O620" t="str">
        <f t="shared" si="192"/>
        <v xml:space="preserve">          </v>
      </c>
      <c r="P620" t="str">
        <f t="shared" si="193"/>
        <v xml:space="preserve">STATE 3R                                                                                            </v>
      </c>
    </row>
    <row r="621" spans="1:16" x14ac:dyDescent="0.25">
      <c r="A621" t="str">
        <f t="shared" si="181"/>
        <v>10</v>
      </c>
      <c r="B621" t="str">
        <f t="shared" si="187"/>
        <v>21</v>
      </c>
      <c r="C621" s="1">
        <v>45285</v>
      </c>
      <c r="D621" t="str">
        <f>CLEAN("5145-00-42")</f>
        <v>5145-00-42</v>
      </c>
      <c r="E621" t="str">
        <f t="shared" si="191"/>
        <v xml:space="preserve">303  </v>
      </c>
      <c r="F621" t="str">
        <f>CLEAN("$0 - $99,999             ")</f>
        <v xml:space="preserve">$0 - $99,999             </v>
      </c>
      <c r="G621" t="str">
        <f>CLEAN("UTL")</f>
        <v>UTL</v>
      </c>
      <c r="H621" t="str">
        <f>CLEAN("NONLET CONSTR/REAL ESTATE")</f>
        <v>NONLET CONSTR/REAL ESTATE</v>
      </c>
      <c r="I621" t="str">
        <f>CLEAN("UTL/AT&amp;T WI COMM/5145-00-71/RSRF   ")</f>
        <v xml:space="preserve">UTL/AT&amp;T WI COMM/5145-00-71/RSRF   </v>
      </c>
      <c r="J621" t="str">
        <f>CLEAN("STH 019")</f>
        <v>STH 019</v>
      </c>
      <c r="K621" t="str">
        <f>CLEAN("DANE                          ")</f>
        <v xml:space="preserve">DANE                          </v>
      </c>
      <c r="L621" t="str">
        <f>CLEAN("MAZOMANIE - USH 12                 ")</f>
        <v xml:space="preserve">MAZOMANIE - USH 12                 </v>
      </c>
      <c r="M621" t="str">
        <f>CLEAN("STH 78 TO USH 12                   ")</f>
        <v xml:space="preserve">STH 78 TO USH 12                   </v>
      </c>
      <c r="N621">
        <v>9.56</v>
      </c>
      <c r="O621" t="str">
        <f t="shared" si="192"/>
        <v xml:space="preserve">          </v>
      </c>
      <c r="P621" t="str">
        <f t="shared" si="193"/>
        <v xml:space="preserve">STATE 3R                                                                                            </v>
      </c>
    </row>
    <row r="622" spans="1:16" x14ac:dyDescent="0.25">
      <c r="A622" t="str">
        <f t="shared" si="181"/>
        <v>10</v>
      </c>
      <c r="B622" t="str">
        <f t="shared" si="187"/>
        <v>21</v>
      </c>
      <c r="C622" s="1">
        <v>45285</v>
      </c>
      <c r="D622" t="str">
        <f>CLEAN("5145-00-43")</f>
        <v>5145-00-43</v>
      </c>
      <c r="E622" t="str">
        <f t="shared" si="191"/>
        <v xml:space="preserve">303  </v>
      </c>
      <c r="F622" t="str">
        <f>CLEAN("$100,000-$249,999        ")</f>
        <v xml:space="preserve">$100,000-$249,999        </v>
      </c>
      <c r="G622" t="str">
        <f>CLEAN("UTL")</f>
        <v>UTL</v>
      </c>
      <c r="H622" t="str">
        <f>CLEAN("NONLET CONSTR/REAL ESTATE")</f>
        <v>NONLET CONSTR/REAL ESTATE</v>
      </c>
      <c r="I622" t="str">
        <f>CLEAN("UTL/MG&amp;E ELEC/5145-00-71/RSRF      ")</f>
        <v xml:space="preserve">UTL/MG&amp;E ELEC/5145-00-71/RSRF      </v>
      </c>
      <c r="J622" t="str">
        <f>CLEAN("STH 019")</f>
        <v>STH 019</v>
      </c>
      <c r="K622" t="str">
        <f>CLEAN("DANE                          ")</f>
        <v xml:space="preserve">DANE                          </v>
      </c>
      <c r="L622" t="str">
        <f>CLEAN("MAZOMANIE - USH 12                 ")</f>
        <v xml:space="preserve">MAZOMANIE - USH 12                 </v>
      </c>
      <c r="M622" t="str">
        <f>CLEAN("STH 78 TO USH 12                   ")</f>
        <v xml:space="preserve">STH 78 TO USH 12                   </v>
      </c>
      <c r="N622">
        <v>9.56</v>
      </c>
      <c r="O622" t="str">
        <f t="shared" si="192"/>
        <v xml:space="preserve">          </v>
      </c>
      <c r="P622" t="str">
        <f t="shared" si="193"/>
        <v xml:space="preserve">STATE 3R                                                                                            </v>
      </c>
    </row>
    <row r="623" spans="1:16" x14ac:dyDescent="0.25">
      <c r="A623" t="str">
        <f t="shared" si="181"/>
        <v>10</v>
      </c>
      <c r="B623" t="str">
        <f t="shared" si="187"/>
        <v>21</v>
      </c>
      <c r="C623" s="1">
        <v>45272</v>
      </c>
      <c r="D623" t="str">
        <f>CLEAN("5145-00-71")</f>
        <v>5145-00-71</v>
      </c>
      <c r="E623" t="str">
        <f t="shared" si="191"/>
        <v xml:space="preserve">303  </v>
      </c>
      <c r="F623" t="str">
        <f>CLEAN("$15,000,000 - $16,999,999")</f>
        <v>$15,000,000 - $16,999,999</v>
      </c>
      <c r="G623" t="str">
        <f>CLEAN("LET")</f>
        <v>LET</v>
      </c>
      <c r="H623" t="str">
        <f>CLEAN("LET CONSTRUCTION         ")</f>
        <v xml:space="preserve">LET CONSTRUCTION         </v>
      </c>
      <c r="I623" t="str">
        <f>CLEAN("CONST/PULVERZ/B13-796,-797 RPL/RSRF")</f>
        <v>CONST/PULVERZ/B13-796,-797 RPL/RSRF</v>
      </c>
      <c r="J623" t="str">
        <f>CLEAN("STH 019")</f>
        <v>STH 019</v>
      </c>
      <c r="K623" t="str">
        <f>CLEAN("DANE                          ")</f>
        <v xml:space="preserve">DANE                          </v>
      </c>
      <c r="L623" t="str">
        <f>CLEAN("MAZOMANIE - USH 12                 ")</f>
        <v xml:space="preserve">MAZOMANIE - USH 12                 </v>
      </c>
      <c r="M623" t="str">
        <f>CLEAN("STH 78 TO USH 12                   ")</f>
        <v xml:space="preserve">STH 78 TO USH 12                   </v>
      </c>
      <c r="N623">
        <v>9.6240000000000006</v>
      </c>
      <c r="O623" t="str">
        <f t="shared" si="192"/>
        <v xml:space="preserve">          </v>
      </c>
      <c r="P623" t="str">
        <f t="shared" si="193"/>
        <v xml:space="preserve">STATE 3R                                                                                            </v>
      </c>
    </row>
    <row r="624" spans="1:16" x14ac:dyDescent="0.25">
      <c r="A624" t="str">
        <f t="shared" si="181"/>
        <v>10</v>
      </c>
      <c r="B624" t="str">
        <f t="shared" si="187"/>
        <v>21</v>
      </c>
      <c r="C624" s="1">
        <v>45407</v>
      </c>
      <c r="D624" t="str">
        <f>CLEAN("5155-02-24")</f>
        <v>5155-02-24</v>
      </c>
      <c r="E624" t="str">
        <f t="shared" si="191"/>
        <v xml:space="preserve">303  </v>
      </c>
      <c r="F624" t="str">
        <f>CLEAN("$100,000-$249,999        ")</f>
        <v xml:space="preserve">$100,000-$249,999        </v>
      </c>
      <c r="G624" t="str">
        <f>CLEAN("R/E")</f>
        <v>R/E</v>
      </c>
      <c r="H624" t="str">
        <f>CLEAN("NONLET CONSTR/REAL ESTATE")</f>
        <v>NONLET CONSTR/REAL ESTATE</v>
      </c>
      <c r="I624" t="str">
        <f>CLEAN("R/E OPERATIONS/RSRF25              ")</f>
        <v xml:space="preserve">R/E OPERATIONS/RSRF25              </v>
      </c>
      <c r="J624" t="str">
        <f>CLEAN("USH 014")</f>
        <v>USH 014</v>
      </c>
      <c r="K624" t="str">
        <f>CLEAN("ROCK                          ")</f>
        <v xml:space="preserve">ROCK                          </v>
      </c>
      <c r="L624" t="str">
        <f>CLEAN("MADISON - EVANSVILLE               ")</f>
        <v xml:space="preserve">MADISON - EVANSVILLE               </v>
      </c>
      <c r="M624" t="str">
        <f>CLEAN("STH 92 TO C EVANSVILLE N LIMIT     ")</f>
        <v xml:space="preserve">STH 92 TO C EVANSVILLE N LIMIT     </v>
      </c>
      <c r="N624">
        <v>5.3209999999999997</v>
      </c>
      <c r="O624" t="str">
        <f t="shared" si="192"/>
        <v xml:space="preserve">          </v>
      </c>
      <c r="P624" t="str">
        <f t="shared" si="193"/>
        <v xml:space="preserve">STATE 3R                                                                                            </v>
      </c>
    </row>
    <row r="625" spans="1:16" x14ac:dyDescent="0.25">
      <c r="A625" t="str">
        <f t="shared" si="181"/>
        <v>10</v>
      </c>
      <c r="B625" t="str">
        <f t="shared" si="187"/>
        <v>21</v>
      </c>
      <c r="C625" s="1">
        <v>45285</v>
      </c>
      <c r="D625" t="str">
        <f>CLEAN("5155-02-25")</f>
        <v>5155-02-25</v>
      </c>
      <c r="E625" t="str">
        <f t="shared" si="191"/>
        <v xml:space="preserve">303  </v>
      </c>
      <c r="F625" t="str">
        <f>CLEAN("$0 - $99,999             ")</f>
        <v xml:space="preserve">$0 - $99,999             </v>
      </c>
      <c r="G625" t="str">
        <f>CLEAN("R/E")</f>
        <v>R/E</v>
      </c>
      <c r="H625" t="str">
        <f>CLEAN("NONLET CONSTR/REAL ESTATE")</f>
        <v>NONLET CONSTR/REAL ESTATE</v>
      </c>
      <c r="I625" t="str">
        <f>CLEAN("RE/ 5155-02-65/ RSRF20             ")</f>
        <v xml:space="preserve">RE/ 5155-02-65/ RSRF20             </v>
      </c>
      <c r="J625" t="str">
        <f>CLEAN("USH 014")</f>
        <v>USH 014</v>
      </c>
      <c r="K625" t="str">
        <f>CLEAN("DANE                          ")</f>
        <v xml:space="preserve">DANE                          </v>
      </c>
      <c r="L625" t="str">
        <f>CLEAN("MADISON - EVANSVILLE               ")</f>
        <v xml:space="preserve">MADISON - EVANSVILLE               </v>
      </c>
      <c r="M625" t="str">
        <f>CLEAN("C FITCHBURG N LIMIT TO S LIMIT     ")</f>
        <v xml:space="preserve">C FITCHBURG N LIMIT TO S LIMIT     </v>
      </c>
      <c r="N625">
        <v>6.41</v>
      </c>
      <c r="O625" t="str">
        <f t="shared" si="192"/>
        <v xml:space="preserve">          </v>
      </c>
      <c r="P625" t="str">
        <f t="shared" si="193"/>
        <v xml:space="preserve">STATE 3R                                                                                            </v>
      </c>
    </row>
    <row r="626" spans="1:16" x14ac:dyDescent="0.25">
      <c r="A626" t="str">
        <f t="shared" si="181"/>
        <v>10</v>
      </c>
      <c r="B626" t="str">
        <f t="shared" si="187"/>
        <v>21</v>
      </c>
      <c r="C626" s="1">
        <v>45316</v>
      </c>
      <c r="D626" t="str">
        <f>CLEAN("5160-00-01")</f>
        <v>5160-00-01</v>
      </c>
      <c r="E626" t="str">
        <f>CLEAN("206  ")</f>
        <v xml:space="preserve">206  </v>
      </c>
      <c r="F626" t="str">
        <f>CLEAN("$0 - $99,999             ")</f>
        <v xml:space="preserve">$0 - $99,999             </v>
      </c>
      <c r="G626" t="str">
        <f>CLEAN("MIS")</f>
        <v>MIS</v>
      </c>
      <c r="H626" t="str">
        <f>CLEAN("NONLET CONSTR/REAL ESTATE")</f>
        <v>NONLET CONSTR/REAL ESTATE</v>
      </c>
      <c r="I626" t="str">
        <f>CLEAN("CONST/CARBON RED-LED LIGHTING      ")</f>
        <v xml:space="preserve">CONST/CARBON RED-LED LIGHTING      </v>
      </c>
      <c r="J626" t="str">
        <f>CLEAN("STH 035")</f>
        <v>STH 035</v>
      </c>
      <c r="K626" t="str">
        <f>CLEAN("CRAWFORD                      ")</f>
        <v xml:space="preserve">CRAWFORD                      </v>
      </c>
      <c r="L626" t="str">
        <f>CLEAN("V FERRYVILLE, STH 35               ")</f>
        <v xml:space="preserve">V FERRYVILLE, STH 35               </v>
      </c>
      <c r="M626" t="str">
        <f>CLEAN("RIVER BLUFF DR. TO CTH C           ")</f>
        <v xml:space="preserve">RIVER BLUFF DR. TO CTH C           </v>
      </c>
      <c r="N626">
        <v>0</v>
      </c>
      <c r="O626" t="str">
        <f t="shared" si="192"/>
        <v xml:space="preserve">          </v>
      </c>
      <c r="P626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627" spans="1:16" x14ac:dyDescent="0.25">
      <c r="A627" t="str">
        <f t="shared" si="181"/>
        <v>10</v>
      </c>
      <c r="B627" t="str">
        <f t="shared" si="187"/>
        <v>21</v>
      </c>
      <c r="C627" s="1">
        <v>45517</v>
      </c>
      <c r="D627" t="str">
        <f>CLEAN("5160-07-70")</f>
        <v>5160-07-70</v>
      </c>
      <c r="E627" t="str">
        <f t="shared" ref="E627:E634" si="194">CLEAN("303  ")</f>
        <v xml:space="preserve">303  </v>
      </c>
      <c r="F627" t="str">
        <f>CLEAN("$12,000,000 - $12,999,999")</f>
        <v>$12,000,000 - $12,999,999</v>
      </c>
      <c r="G627" t="str">
        <f>CLEAN("LET")</f>
        <v>LET</v>
      </c>
      <c r="H627" t="str">
        <f>CLEAN("LET CONSTRUCTION         ")</f>
        <v xml:space="preserve">LET CONSTRUCTION         </v>
      </c>
      <c r="I627" t="str">
        <f>CLEAN("CONST/MILL &amp; OVERLAY/RSRF          ")</f>
        <v xml:space="preserve">CONST/MILL &amp; OVERLAY/RSRF          </v>
      </c>
      <c r="J627" t="str">
        <f>CLEAN("STH 035")</f>
        <v>STH 035</v>
      </c>
      <c r="K627" t="str">
        <f>CLEAN("CRAWFORD                      ")</f>
        <v xml:space="preserve">CRAWFORD                      </v>
      </c>
      <c r="L627" t="str">
        <f>CLEAN("PRAIRIE DU CHIEN - FERRYVILLE      ")</f>
        <v xml:space="preserve">PRAIRIE DU CHIEN - FERRYVILLE      </v>
      </c>
      <c r="M627" t="str">
        <f>CLEAN("CTH N TO CTH E/B-12-41,-42,-43,-45 ")</f>
        <v xml:space="preserve">CTH N TO CTH E/B-12-41,-42,-43,-45 </v>
      </c>
      <c r="N627">
        <v>9.9629999999999992</v>
      </c>
      <c r="O627" t="str">
        <f t="shared" si="192"/>
        <v xml:space="preserve">          </v>
      </c>
      <c r="P6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28" spans="1:16" x14ac:dyDescent="0.25">
      <c r="A628" t="str">
        <f t="shared" si="181"/>
        <v>10</v>
      </c>
      <c r="B628" t="str">
        <f t="shared" si="187"/>
        <v>21</v>
      </c>
      <c r="C628" s="1">
        <v>45285</v>
      </c>
      <c r="D628" t="str">
        <f>CLEAN("5190-07-21")</f>
        <v>5190-07-21</v>
      </c>
      <c r="E628" t="str">
        <f t="shared" si="194"/>
        <v xml:space="preserve">303  </v>
      </c>
      <c r="F628" t="str">
        <f>CLEAN("$250,000 - $499,999      ")</f>
        <v xml:space="preserve">$250,000 - $499,999      </v>
      </c>
      <c r="G628" t="str">
        <f>CLEAN("R/E")</f>
        <v>R/E</v>
      </c>
      <c r="H628" t="str">
        <f>CLEAN("NONLET CONSTR/REAL ESTATE")</f>
        <v>NONLET CONSTR/REAL ESTATE</v>
      </c>
      <c r="I628" t="str">
        <f>CLEAN("R/W OPER                           ")</f>
        <v xml:space="preserve">R/W OPER                           </v>
      </c>
      <c r="J628" t="str">
        <f>CLEAN("STH 060")</f>
        <v>STH 060</v>
      </c>
      <c r="K628" t="str">
        <f>CLEAN("RICHLAND                      ")</f>
        <v xml:space="preserve">RICHLAND                      </v>
      </c>
      <c r="L628" t="str">
        <f>CLEAN("STH 80 - USH 14                    ")</f>
        <v xml:space="preserve">STH 80 - USH 14                    </v>
      </c>
      <c r="M628" t="str">
        <f>CLEAN("FROM STH 80 EASTERLY TO USH 14     ")</f>
        <v xml:space="preserve">FROM STH 80 EASTERLY TO USH 14     </v>
      </c>
      <c r="N628">
        <v>8.2799999999999994</v>
      </c>
      <c r="O628" t="str">
        <f t="shared" si="192"/>
        <v xml:space="preserve">          </v>
      </c>
      <c r="P62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29" spans="1:16" x14ac:dyDescent="0.25">
      <c r="A629" t="str">
        <f t="shared" si="181"/>
        <v>10</v>
      </c>
      <c r="B629" t="str">
        <f t="shared" si="187"/>
        <v>21</v>
      </c>
      <c r="C629" s="1">
        <v>45391</v>
      </c>
      <c r="D629" t="str">
        <f>CLEAN("5200-03-63")</f>
        <v>5200-03-63</v>
      </c>
      <c r="E629" t="str">
        <f t="shared" si="194"/>
        <v xml:space="preserve">303  </v>
      </c>
      <c r="F629" t="str">
        <f>CLEAN("$1,000,000 - $1,999,999  ")</f>
        <v xml:space="preserve">$1,000,000 - $1,999,999  </v>
      </c>
      <c r="G629" t="str">
        <f>CLEAN("LET")</f>
        <v>LET</v>
      </c>
      <c r="H629" t="str">
        <f>CLEAN("LET CONSTRUCTION         ")</f>
        <v xml:space="preserve">LET CONSTRUCTION         </v>
      </c>
      <c r="I629" t="str">
        <f>CLEAN("CONST/REPAIRS &amp; SPOT PAINT/BRRHB   ")</f>
        <v xml:space="preserve">CONST/REPAIRS &amp; SPOT PAINT/BRRHB   </v>
      </c>
      <c r="J629" t="str">
        <f>CLEAN("USH 014")</f>
        <v>USH 014</v>
      </c>
      <c r="K629" t="str">
        <f>CLEAN("LA CROSSE                     ")</f>
        <v xml:space="preserve">LA CROSSE                     </v>
      </c>
      <c r="L629" t="str">
        <f>CLEAN("C LACROSSE, CAMERON AVE &amp; CASS ST  ")</f>
        <v xml:space="preserve">C LACROSSE, CAMERON AVE &amp; CASS ST  </v>
      </c>
      <c r="M629" t="str">
        <f>CLEAN("MISSISSIPPI RVR B-32-202 &amp; B-32-300")</f>
        <v>MISSISSIPPI RVR B-32-202 &amp; B-32-300</v>
      </c>
      <c r="N629">
        <v>0.51500000000000001</v>
      </c>
      <c r="O629" t="str">
        <f t="shared" si="192"/>
        <v xml:space="preserve">          </v>
      </c>
      <c r="P62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30" spans="1:16" x14ac:dyDescent="0.25">
      <c r="A630" t="str">
        <f t="shared" si="181"/>
        <v>10</v>
      </c>
      <c r="B630" t="str">
        <f t="shared" si="187"/>
        <v>21</v>
      </c>
      <c r="C630" s="1">
        <v>45407</v>
      </c>
      <c r="D630" t="str">
        <f>CLEAN("5231-00-20")</f>
        <v>5231-00-20</v>
      </c>
      <c r="E630" t="str">
        <f t="shared" si="194"/>
        <v xml:space="preserve">303  </v>
      </c>
      <c r="F630" t="str">
        <f>CLEAN("$0 - $99,999             ")</f>
        <v xml:space="preserve">$0 - $99,999             </v>
      </c>
      <c r="G630" t="str">
        <f>CLEAN("R/E")</f>
        <v>R/E</v>
      </c>
      <c r="H630" t="str">
        <f>CLEAN("NONLET CONSTR/REAL ESTATE")</f>
        <v>NONLET CONSTR/REAL ESTATE</v>
      </c>
      <c r="I630" t="str">
        <f>CLEAN("R/E OPERATIONS/                    ")</f>
        <v xml:space="preserve">R/E OPERATIONS/                    </v>
      </c>
      <c r="J630" t="str">
        <f>CLEAN("STH 104")</f>
        <v>STH 104</v>
      </c>
      <c r="K630" t="str">
        <f>CLEAN("GREEN                         ")</f>
        <v xml:space="preserve">GREEN                         </v>
      </c>
      <c r="L630" t="str">
        <f>CLEAN("BRODHEAD - BROOKLYN                ")</f>
        <v xml:space="preserve">BRODHEAD - BROOKLYN                </v>
      </c>
      <c r="M630" t="str">
        <f>CLEAN("BOX CULVERT C-53-2016              ")</f>
        <v xml:space="preserve">BOX CULVERT C-53-2016              </v>
      </c>
      <c r="N630">
        <v>0.23400000000000001</v>
      </c>
      <c r="O630" t="str">
        <f t="shared" si="192"/>
        <v xml:space="preserve">          </v>
      </c>
      <c r="P63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1" spans="1:16" x14ac:dyDescent="0.25">
      <c r="A631" t="str">
        <f t="shared" si="181"/>
        <v>10</v>
      </c>
      <c r="B631" t="str">
        <f t="shared" si="187"/>
        <v>21</v>
      </c>
      <c r="C631" s="1">
        <v>45651</v>
      </c>
      <c r="D631" t="str">
        <f>CLEAN("5280-03-21")</f>
        <v>5280-03-21</v>
      </c>
      <c r="E631" t="str">
        <f t="shared" si="194"/>
        <v xml:space="preserve">303  </v>
      </c>
      <c r="F631" t="str">
        <f>CLEAN("$0 - $99,999             ")</f>
        <v xml:space="preserve">$0 - $99,999             </v>
      </c>
      <c r="G631" t="str">
        <f>CLEAN("R/E")</f>
        <v>R/E</v>
      </c>
      <c r="H631" t="str">
        <f>CLEAN("NONLET CONSTR/REAL ESTATE")</f>
        <v>NONLET CONSTR/REAL ESTATE</v>
      </c>
      <c r="I631" t="str">
        <f>CLEAN("RE/PVRPLA/CONST 5280-03-71         ")</f>
        <v xml:space="preserve">RE/PVRPLA/CONST 5280-03-71         </v>
      </c>
      <c r="J631" t="str">
        <f>CLEAN("STH 113")</f>
        <v>STH 113</v>
      </c>
      <c r="K631" t="str">
        <f>CLEAN("DANE                          ")</f>
        <v xml:space="preserve">DANE                          </v>
      </c>
      <c r="L631" t="str">
        <f>CLEAN("MADISON - LODI                     ")</f>
        <v xml:space="preserve">MADISON - LODI                     </v>
      </c>
      <c r="M631" t="str">
        <f>CLEAN("CTH V TO CTH P                     ")</f>
        <v xml:space="preserve">CTH V TO CTH P                     </v>
      </c>
      <c r="N631">
        <v>2.8220000000000001</v>
      </c>
      <c r="O631" t="str">
        <f t="shared" si="192"/>
        <v xml:space="preserve">          </v>
      </c>
      <c r="P6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2" spans="1:16" x14ac:dyDescent="0.25">
      <c r="A632" t="str">
        <f t="shared" ref="A632:A695" si="195">CLEAN("10")</f>
        <v>10</v>
      </c>
      <c r="B632" t="str">
        <f t="shared" si="187"/>
        <v>21</v>
      </c>
      <c r="C632" s="1">
        <v>45300</v>
      </c>
      <c r="D632" t="str">
        <f>CLEAN("5280-03-70")</f>
        <v>5280-03-70</v>
      </c>
      <c r="E632" t="str">
        <f t="shared" si="194"/>
        <v xml:space="preserve">303  </v>
      </c>
      <c r="F632" t="str">
        <f>CLEAN("$3,000,000 - $3,999,999  ")</f>
        <v xml:space="preserve">$3,000,000 - $3,999,999  </v>
      </c>
      <c r="G632" t="str">
        <f>CLEAN("LET")</f>
        <v>LET</v>
      </c>
      <c r="H632" t="str">
        <f>CLEAN("LET CONSTRUCTION         ")</f>
        <v xml:space="preserve">LET CONSTRUCTION         </v>
      </c>
      <c r="I632" t="str">
        <f>CLEAN("CONST/PAV'T REPLACE/B-13-871/PVRPLA")</f>
        <v>CONST/PAV'T REPLACE/B-13-871/PVRPLA</v>
      </c>
      <c r="J632" t="str">
        <f>CLEAN("STH 113")</f>
        <v>STH 113</v>
      </c>
      <c r="K632" t="str">
        <f>CLEAN("DANE                          ")</f>
        <v xml:space="preserve">DANE                          </v>
      </c>
      <c r="L632" t="str">
        <f>CLEAN("MADISON - LODI                     ")</f>
        <v xml:space="preserve">MADISON - LODI                     </v>
      </c>
      <c r="M632" t="str">
        <f>CLEAN("SUNSET LANE TO CTH V               ")</f>
        <v xml:space="preserve">SUNSET LANE TO CTH V               </v>
      </c>
      <c r="N632">
        <v>3.8039999999999998</v>
      </c>
      <c r="O632" t="str">
        <f t="shared" si="192"/>
        <v xml:space="preserve">          </v>
      </c>
      <c r="P63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33" spans="1:16" x14ac:dyDescent="0.25">
      <c r="A633" t="str">
        <f t="shared" si="195"/>
        <v>10</v>
      </c>
      <c r="B633" t="str">
        <f t="shared" si="187"/>
        <v>21</v>
      </c>
      <c r="C633" s="1">
        <v>45300</v>
      </c>
      <c r="D633" t="str">
        <f>CLEAN("5280-03-70")</f>
        <v>5280-03-70</v>
      </c>
      <c r="E633" t="str">
        <f t="shared" si="194"/>
        <v xml:space="preserve">303  </v>
      </c>
      <c r="F633" t="str">
        <f>CLEAN("$3,000,000 - $3,999,999  ")</f>
        <v xml:space="preserve">$3,000,000 - $3,999,999  </v>
      </c>
      <c r="G633" t="str">
        <f>CLEAN("LET")</f>
        <v>LET</v>
      </c>
      <c r="H633" t="str">
        <f>CLEAN("LET CONSTRUCTION         ")</f>
        <v xml:space="preserve">LET CONSTRUCTION         </v>
      </c>
      <c r="I633" t="str">
        <f>CLEAN("CONST/PAV'T REPLACE/B-13-871/PVRPLA")</f>
        <v>CONST/PAV'T REPLACE/B-13-871/PVRPLA</v>
      </c>
      <c r="J633" t="str">
        <f>CLEAN("STH 113")</f>
        <v>STH 113</v>
      </c>
      <c r="K633" t="str">
        <f>CLEAN("DANE                          ")</f>
        <v xml:space="preserve">DANE                          </v>
      </c>
      <c r="L633" t="str">
        <f>CLEAN("MADISON - LODI                     ")</f>
        <v xml:space="preserve">MADISON - LODI                     </v>
      </c>
      <c r="M633" t="str">
        <f>CLEAN("SUNSET LANE TO CTH V               ")</f>
        <v xml:space="preserve">SUNSET LANE TO CTH V               </v>
      </c>
      <c r="N633">
        <v>3.8039999999999998</v>
      </c>
      <c r="O633" t="str">
        <f t="shared" si="192"/>
        <v xml:space="preserve">          </v>
      </c>
      <c r="P6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4" spans="1:16" x14ac:dyDescent="0.25">
      <c r="A634" t="str">
        <f t="shared" si="195"/>
        <v>10</v>
      </c>
      <c r="B634" t="str">
        <f t="shared" si="187"/>
        <v>21</v>
      </c>
      <c r="C634" s="1">
        <v>45285</v>
      </c>
      <c r="D634" t="str">
        <f>CLEAN("5290-02-21")</f>
        <v>5290-02-21</v>
      </c>
      <c r="E634" t="str">
        <f t="shared" si="194"/>
        <v xml:space="preserve">303  </v>
      </c>
      <c r="F634" t="str">
        <f>CLEAN("$0 - $99,999             ")</f>
        <v xml:space="preserve">$0 - $99,999             </v>
      </c>
      <c r="G634" t="str">
        <f>CLEAN("R/E")</f>
        <v>R/E</v>
      </c>
      <c r="H634" t="str">
        <f>CLEAN("NONLET CONSTR/REAL ESTATE")</f>
        <v>NONLET CONSTR/REAL ESTATE</v>
      </c>
      <c r="I634" t="str">
        <f>CLEAN("RE OPS / 5290-02-71 / RSRF         ")</f>
        <v xml:space="preserve">RE OPS / 5290-02-71 / RSRF         </v>
      </c>
      <c r="J634" t="str">
        <f>CLEAN("STH 019")</f>
        <v>STH 019</v>
      </c>
      <c r="K634" t="str">
        <f>CLEAN("DANE                          ")</f>
        <v xml:space="preserve">DANE                          </v>
      </c>
      <c r="L634" t="str">
        <f>CLEAN("MAZOMANIE - SUN PRAIRIE            ")</f>
        <v xml:space="preserve">MAZOMANIE - SUN PRAIRIE            </v>
      </c>
      <c r="M634" t="str">
        <f>CLEAN("DIVISION STREET TO RIVER ROAD      ")</f>
        <v xml:space="preserve">DIVISION STREET TO RIVER ROAD      </v>
      </c>
      <c r="N634">
        <v>3.5310000000000001</v>
      </c>
      <c r="O634" t="str">
        <f t="shared" si="192"/>
        <v xml:space="preserve">          </v>
      </c>
      <c r="P63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5" spans="1:16" x14ac:dyDescent="0.25">
      <c r="A635" t="str">
        <f t="shared" si="195"/>
        <v>10</v>
      </c>
      <c r="B635" t="str">
        <f t="shared" si="187"/>
        <v>21</v>
      </c>
      <c r="C635" s="1">
        <v>45335</v>
      </c>
      <c r="D635" t="str">
        <f>CLEAN("5305-00-71")</f>
        <v>5305-00-71</v>
      </c>
      <c r="E635" t="str">
        <f>CLEAN("206  ")</f>
        <v xml:space="preserve">206  </v>
      </c>
      <c r="F635" t="str">
        <f>CLEAN("$2,000,000 - $2,999,999  ")</f>
        <v xml:space="preserve">$2,000,000 - $2,999,999  </v>
      </c>
      <c r="G635" t="str">
        <f>CLEAN("LET")</f>
        <v>LET</v>
      </c>
      <c r="H635" t="str">
        <f>CLEAN("LET CONSTRUCTION         ")</f>
        <v xml:space="preserve">LET CONSTRUCTION         </v>
      </c>
      <c r="I635" t="str">
        <f>CLEAN("CONST OPS/RECONSTRUCTION           ")</f>
        <v xml:space="preserve">CONST OPS/RECONSTRUCTION           </v>
      </c>
      <c r="J635" t="str">
        <f>CLEAN("CTH SS ")</f>
        <v xml:space="preserve">CTH SS </v>
      </c>
      <c r="K635" t="str">
        <f>CLEAN("VERNON                        ")</f>
        <v xml:space="preserve">VERNON                        </v>
      </c>
      <c r="L635" t="str">
        <f>CLEAN("T LIBERTY - STH 56                 ")</f>
        <v xml:space="preserve">T LIBERTY - STH 56                 </v>
      </c>
      <c r="M635" t="str">
        <f>CLEAN("PEA VINE ROAD TO STH 56            ")</f>
        <v xml:space="preserve">PEA VINE ROAD TO STH 56            </v>
      </c>
      <c r="N635">
        <v>0.84299999999999997</v>
      </c>
      <c r="O635" t="str">
        <f t="shared" si="192"/>
        <v xml:space="preserve">          </v>
      </c>
      <c r="P63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36" spans="1:16" x14ac:dyDescent="0.25">
      <c r="A636" t="str">
        <f t="shared" si="195"/>
        <v>10</v>
      </c>
      <c r="B636" t="str">
        <f t="shared" si="187"/>
        <v>21</v>
      </c>
      <c r="C636" s="1">
        <v>45363</v>
      </c>
      <c r="D636" t="str">
        <f>CLEAN("5310-02-78")</f>
        <v>5310-02-78</v>
      </c>
      <c r="E636" t="str">
        <f>CLEAN("303  ")</f>
        <v xml:space="preserve">303  </v>
      </c>
      <c r="F636" t="str">
        <f>CLEAN("$250,000 - $499,999      ")</f>
        <v xml:space="preserve">$250,000 - $499,999      </v>
      </c>
      <c r="G636" t="str">
        <f>CLEAN("LET")</f>
        <v>LET</v>
      </c>
      <c r="H636" t="str">
        <f>CLEAN("LET CONSTRUCTION         ")</f>
        <v xml:space="preserve">LET CONSTRUCTION         </v>
      </c>
      <c r="I636" t="str">
        <f>CLEAN("CONST/LT TURN/MONOTUBES/MISC       ")</f>
        <v xml:space="preserve">CONST/LT TURN/MONOTUBES/MISC       </v>
      </c>
      <c r="J636" t="str">
        <f>CLEAN("USH 014")</f>
        <v>USH 014</v>
      </c>
      <c r="K636" t="str">
        <f>CLEAN("DANE                          ")</f>
        <v xml:space="preserve">DANE                          </v>
      </c>
      <c r="L636" t="str">
        <f>CLEAN("SPRING GREEN - MADISON             ")</f>
        <v xml:space="preserve">SPRING GREEN - MADISON             </v>
      </c>
      <c r="M636" t="str">
        <f>CLEAN("DEMING WAY INTERSECTION            ")</f>
        <v xml:space="preserve">DEMING WAY INTERSECTION            </v>
      </c>
      <c r="N636">
        <v>0.33400000000000002</v>
      </c>
      <c r="O636" t="str">
        <f t="shared" si="192"/>
        <v xml:space="preserve">          </v>
      </c>
      <c r="P63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37" spans="1:16" x14ac:dyDescent="0.25">
      <c r="A637" t="str">
        <f t="shared" si="195"/>
        <v>10</v>
      </c>
      <c r="B637" t="str">
        <f t="shared" si="187"/>
        <v>21</v>
      </c>
      <c r="C637" s="1">
        <v>45316</v>
      </c>
      <c r="D637" t="str">
        <f>CLEAN("5340-00-20")</f>
        <v>5340-00-20</v>
      </c>
      <c r="E637" t="str">
        <f>CLEAN("303  ")</f>
        <v xml:space="preserve">303  </v>
      </c>
      <c r="F637" t="str">
        <f>CLEAN("$0 - $99,999             ")</f>
        <v xml:space="preserve">$0 - $99,999             </v>
      </c>
      <c r="G637" t="str">
        <f>CLEAN("R/E")</f>
        <v>R/E</v>
      </c>
      <c r="H637" t="str">
        <f>CLEAN("NONLET CONSTR/REAL ESTATE")</f>
        <v>NONLET CONSTR/REAL ESTATE</v>
      </c>
      <c r="I637" t="str">
        <f>CLEAN("R/E OPERATIONS/RECST               ")</f>
        <v xml:space="preserve">R/E OPERATIONS/RECST               </v>
      </c>
      <c r="J637" t="str">
        <f>CLEAN("STH 081")</f>
        <v>STH 081</v>
      </c>
      <c r="K637" t="str">
        <f>CLEAN("ROCK                          ")</f>
        <v xml:space="preserve">ROCK                          </v>
      </c>
      <c r="L637" t="str">
        <f>CLEAN("MONROE - BELOIT                    ")</f>
        <v xml:space="preserve">MONROE - BELOIT                    </v>
      </c>
      <c r="M637" t="str">
        <f>CLEAN("CTH T INTERSECTION                 ")</f>
        <v xml:space="preserve">CTH T INTERSECTION                 </v>
      </c>
      <c r="N637">
        <v>0.221</v>
      </c>
      <c r="O637" t="str">
        <f t="shared" si="192"/>
        <v xml:space="preserve">          </v>
      </c>
      <c r="P6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8" spans="1:16" x14ac:dyDescent="0.25">
      <c r="A638" t="str">
        <f t="shared" si="195"/>
        <v>10</v>
      </c>
      <c r="B638" t="str">
        <f t="shared" si="187"/>
        <v>21</v>
      </c>
      <c r="C638" s="1">
        <v>45468</v>
      </c>
      <c r="D638" t="str">
        <f>CLEAN("5345-02-51")</f>
        <v>5345-02-51</v>
      </c>
      <c r="E638" t="str">
        <f>CLEAN("207  ")</f>
        <v xml:space="preserve">207  </v>
      </c>
      <c r="F638" t="str">
        <f>CLEAN("$250,000 - $499,999      ")</f>
        <v xml:space="preserve">$250,000 - $499,999      </v>
      </c>
      <c r="G638" t="str">
        <f>CLEAN("R/R")</f>
        <v>R/R</v>
      </c>
      <c r="H638" t="str">
        <f>CLEAN("NONLET CONSTR/REAL ESTATE")</f>
        <v>NONLET CONSTR/REAL ESTATE</v>
      </c>
      <c r="I638" t="str">
        <f>CLEAN("RR/LIGHTS,GATES,BUNGLOW,CIRC'T/MISC")</f>
        <v>RR/LIGHTS,GATES,BUNGLOW,CIRC'T/MISC</v>
      </c>
      <c r="J638" t="str">
        <f>CLEAN("LOC STR")</f>
        <v>LOC STR</v>
      </c>
      <c r="K638" t="str">
        <f>CLEAN("LA CROSSE                     ")</f>
        <v xml:space="preserve">LA CROSSE                     </v>
      </c>
      <c r="L638" t="str">
        <f>CLEAN("V BANGOR, 10TH AVENUE              ")</f>
        <v xml:space="preserve">V BANGOR, 10TH AVENUE              </v>
      </c>
      <c r="M638" t="str">
        <f>CLEAN("SOO LINE RR XING 390903K           ")</f>
        <v xml:space="preserve">SOO LINE RR XING 390903K           </v>
      </c>
      <c r="N638">
        <v>4.0000000000000001E-3</v>
      </c>
      <c r="O638" t="str">
        <f t="shared" si="192"/>
        <v xml:space="preserve">          </v>
      </c>
      <c r="P638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639" spans="1:16" x14ac:dyDescent="0.25">
      <c r="A639" t="str">
        <f t="shared" si="195"/>
        <v>10</v>
      </c>
      <c r="B639" t="str">
        <f t="shared" ref="B639:B670" si="196">CLEAN("21")</f>
        <v>21</v>
      </c>
      <c r="C639" s="1">
        <v>45335</v>
      </c>
      <c r="D639" t="str">
        <f>CLEAN("5346-00-71")</f>
        <v>5346-00-71</v>
      </c>
      <c r="E639" t="str">
        <f>CLEAN("205  ")</f>
        <v xml:space="preserve">205  </v>
      </c>
      <c r="F639" t="str">
        <f>CLEAN("$500,000 - $749,999      ")</f>
        <v xml:space="preserve">$500,000 - $749,999      </v>
      </c>
      <c r="G639" t="str">
        <f>CLEAN("LET")</f>
        <v>LET</v>
      </c>
      <c r="H639" t="str">
        <f>CLEAN("LET CONSTRUCTION         ")</f>
        <v xml:space="preserve">LET CONSTRUCTION         </v>
      </c>
      <c r="I639" t="str">
        <f>CLEAN("CONST OPS/BRIDGE REPLACEMENT       ")</f>
        <v xml:space="preserve">CONST OPS/BRIDGE REPLACEMENT       </v>
      </c>
      <c r="J639" t="str">
        <f>CLEAN("LOC STR")</f>
        <v>LOC STR</v>
      </c>
      <c r="K639" t="str">
        <f>CLEAN("LA CROSSE                     ")</f>
        <v xml:space="preserve">LA CROSSE                     </v>
      </c>
      <c r="L639" t="str">
        <f>CLEAN("TOWN OF BARRE, DROGSETH ROAD       ")</f>
        <v xml:space="preserve">TOWN OF BARRE, DROGSETH ROAD       </v>
      </c>
      <c r="M639" t="str">
        <f>CLEAN("BOSTWICK CREEK BRIDGE B-32-0231    ")</f>
        <v xml:space="preserve">BOSTWICK CREEK BRIDGE B-32-0231    </v>
      </c>
      <c r="N639">
        <v>6.5000000000000002E-2</v>
      </c>
      <c r="O639" t="str">
        <f t="shared" si="192"/>
        <v xml:space="preserve">          </v>
      </c>
      <c r="P63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40" spans="1:16" x14ac:dyDescent="0.25">
      <c r="A640" t="str">
        <f t="shared" si="195"/>
        <v>10</v>
      </c>
      <c r="B640" t="str">
        <f t="shared" si="196"/>
        <v>21</v>
      </c>
      <c r="C640" s="1">
        <v>45498</v>
      </c>
      <c r="D640" t="str">
        <f>CLEAN("5350-02-50")</f>
        <v>5350-02-50</v>
      </c>
      <c r="E640" t="str">
        <f t="shared" ref="E640:E663" si="197">CLEAN("303  ")</f>
        <v xml:space="preserve">303  </v>
      </c>
      <c r="F640" t="str">
        <f>CLEAN("$250,000 - $499,999      ")</f>
        <v xml:space="preserve">$250,000 - $499,999      </v>
      </c>
      <c r="G640" t="str">
        <f>CLEAN("R/R")</f>
        <v>R/R</v>
      </c>
      <c r="H640" t="str">
        <f>CLEAN("NONLET CONSTR/REAL ESTATE")</f>
        <v>NONLET CONSTR/REAL ESTATE</v>
      </c>
      <c r="I640" t="str">
        <f>CLEAN("RR OPS/CROSSING SURFACE            ")</f>
        <v xml:space="preserve">RR OPS/CROSSING SURFACE            </v>
      </c>
      <c r="J640" t="str">
        <f t="shared" ref="J640:J663" si="198">CLEAN("USH 051")</f>
        <v>USH 051</v>
      </c>
      <c r="K640" t="str">
        <f t="shared" ref="K640:K663" si="199">CLEAN("ROCK                          ")</f>
        <v xml:space="preserve">ROCK                          </v>
      </c>
      <c r="L640" t="str">
        <f t="shared" ref="L640:L647" si="200">CLEAN("C JANESVILLE, CENTER AVENUE        ")</f>
        <v xml:space="preserve">C JANESVILLE, CENTER AVENUE        </v>
      </c>
      <c r="M640" t="str">
        <f>CLEAN("UNION PACIFIC RR XING 177418U      ")</f>
        <v xml:space="preserve">UNION PACIFIC RR XING 177418U      </v>
      </c>
      <c r="N640">
        <v>0</v>
      </c>
      <c r="O640" t="str">
        <f t="shared" si="192"/>
        <v xml:space="preserve">          </v>
      </c>
      <c r="P64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1" spans="1:16" x14ac:dyDescent="0.25">
      <c r="A641" t="str">
        <f t="shared" si="195"/>
        <v>10</v>
      </c>
      <c r="B641" t="str">
        <f t="shared" si="196"/>
        <v>21</v>
      </c>
      <c r="C641" s="1">
        <v>45498</v>
      </c>
      <c r="D641" t="str">
        <f>CLEAN("5350-02-51")</f>
        <v>5350-02-51</v>
      </c>
      <c r="E641" t="str">
        <f t="shared" si="197"/>
        <v xml:space="preserve">303  </v>
      </c>
      <c r="F641" t="str">
        <f>CLEAN("$250,000 - $499,999      ")</f>
        <v xml:space="preserve">$250,000 - $499,999      </v>
      </c>
      <c r="G641" t="str">
        <f>CLEAN("R/R")</f>
        <v>R/R</v>
      </c>
      <c r="H641" t="str">
        <f>CLEAN("NONLET CONSTR/REAL ESTATE")</f>
        <v>NONLET CONSTR/REAL ESTATE</v>
      </c>
      <c r="I641" t="str">
        <f>CLEAN("RR OPS/PREEMPTION WORK (SIGNALS)   ")</f>
        <v xml:space="preserve">RR OPS/PREEMPTION WORK (SIGNALS)   </v>
      </c>
      <c r="J641" t="str">
        <f t="shared" si="198"/>
        <v>USH 051</v>
      </c>
      <c r="K641" t="str">
        <f t="shared" si="199"/>
        <v xml:space="preserve">ROCK                          </v>
      </c>
      <c r="L641" t="str">
        <f t="shared" si="200"/>
        <v xml:space="preserve">C JANESVILLE, CENTER AVENUE        </v>
      </c>
      <c r="M641" t="str">
        <f>CLEAN("UNION PACIFIC RR XING 177418U      ")</f>
        <v xml:space="preserve">UNION PACIFIC RR XING 177418U      </v>
      </c>
      <c r="N641">
        <v>0</v>
      </c>
      <c r="O641" t="str">
        <f t="shared" si="192"/>
        <v xml:space="preserve">          </v>
      </c>
      <c r="P6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2" spans="1:16" x14ac:dyDescent="0.25">
      <c r="A642" t="str">
        <f t="shared" si="195"/>
        <v>10</v>
      </c>
      <c r="B642" t="str">
        <f t="shared" si="196"/>
        <v>21</v>
      </c>
      <c r="C642" s="1">
        <v>45621</v>
      </c>
      <c r="D642" t="str">
        <f>CLEAN("5350-02-52")</f>
        <v>5350-02-52</v>
      </c>
      <c r="E642" t="str">
        <f t="shared" si="197"/>
        <v xml:space="preserve">303  </v>
      </c>
      <c r="F642" t="str">
        <f>CLEAN("$250,000 - $499,999      ")</f>
        <v xml:space="preserve">$250,000 - $499,999      </v>
      </c>
      <c r="G642" t="str">
        <f>CLEAN("R/R")</f>
        <v>R/R</v>
      </c>
      <c r="H642" t="str">
        <f>CLEAN("NONLET CONSTR/REAL ESTATE")</f>
        <v>NONLET CONSTR/REAL ESTATE</v>
      </c>
      <c r="I642" t="str">
        <f>CLEAN("RR/ CROSSING SIGNALS/ PVRPLA       ")</f>
        <v xml:space="preserve">RR/ CROSSING SIGNALS/ PVRPLA       </v>
      </c>
      <c r="J642" t="str">
        <f t="shared" si="198"/>
        <v>USH 051</v>
      </c>
      <c r="K642" t="str">
        <f t="shared" si="199"/>
        <v xml:space="preserve">ROCK                          </v>
      </c>
      <c r="L642" t="str">
        <f t="shared" si="200"/>
        <v xml:space="preserve">C JANESVILLE, CENTER AVENUE        </v>
      </c>
      <c r="M642" t="str">
        <f>CLEAN("UNION PACIFIC RR XING 177423R      ")</f>
        <v xml:space="preserve">UNION PACIFIC RR XING 177423R      </v>
      </c>
      <c r="N642">
        <v>0</v>
      </c>
      <c r="O642" t="str">
        <f t="shared" si="192"/>
        <v xml:space="preserve">          </v>
      </c>
      <c r="P64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3" spans="1:16" x14ac:dyDescent="0.25">
      <c r="A643" t="str">
        <f t="shared" si="195"/>
        <v>10</v>
      </c>
      <c r="B643" t="str">
        <f t="shared" si="196"/>
        <v>21</v>
      </c>
      <c r="C643" s="1">
        <v>45608</v>
      </c>
      <c r="D643" t="str">
        <f>CLEAN("5350-02-65")</f>
        <v>5350-02-65</v>
      </c>
      <c r="E643" t="str">
        <f t="shared" si="197"/>
        <v xml:space="preserve">303  </v>
      </c>
      <c r="F643" t="str">
        <f>CLEAN("$500,000 - $749,999      ")</f>
        <v xml:space="preserve">$500,000 - $749,999      </v>
      </c>
      <c r="G643" t="str">
        <f t="shared" ref="G643:G664" si="201">CLEAN("LET")</f>
        <v>LET</v>
      </c>
      <c r="H643" t="str">
        <f t="shared" ref="H643:H664" si="202">CLEAN("LET CONSTRUCTION         ")</f>
        <v xml:space="preserve">LET CONSTRUCTION         </v>
      </c>
      <c r="I643" t="str">
        <f>CLEAN("EX- CONSTRUCT/ BRRHB               ")</f>
        <v xml:space="preserve">EX- CONSTRUCT/ BRRHB               </v>
      </c>
      <c r="J643" t="str">
        <f t="shared" si="198"/>
        <v>USH 051</v>
      </c>
      <c r="K643" t="str">
        <f t="shared" si="199"/>
        <v xml:space="preserve">ROCK                          </v>
      </c>
      <c r="L643" t="str">
        <f t="shared" si="200"/>
        <v xml:space="preserve">C JANESVILLE, CENTER AVENUE        </v>
      </c>
      <c r="M643" t="str">
        <f>CLEAN("UP RR STRUCTURE B-53-135           ")</f>
        <v xml:space="preserve">UP RR STRUCTURE B-53-135           </v>
      </c>
      <c r="N643">
        <v>0.30299999999999999</v>
      </c>
      <c r="O643" t="str">
        <f>CLEAN("5350-02-72")</f>
        <v>5350-02-72</v>
      </c>
      <c r="P643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44" spans="1:16" x14ac:dyDescent="0.25">
      <c r="A644" t="str">
        <f t="shared" si="195"/>
        <v>10</v>
      </c>
      <c r="B644" t="str">
        <f t="shared" si="196"/>
        <v>21</v>
      </c>
      <c r="C644" s="1">
        <v>45608</v>
      </c>
      <c r="D644" t="str">
        <f>CLEAN("5350-02-65")</f>
        <v>5350-02-65</v>
      </c>
      <c r="E644" t="str">
        <f t="shared" si="197"/>
        <v xml:space="preserve">303  </v>
      </c>
      <c r="F644" t="str">
        <f>CLEAN("$500,000 - $749,999      ")</f>
        <v xml:space="preserve">$500,000 - $749,999      </v>
      </c>
      <c r="G644" t="str">
        <f t="shared" si="201"/>
        <v>LET</v>
      </c>
      <c r="H644" t="str">
        <f t="shared" si="202"/>
        <v xml:space="preserve">LET CONSTRUCTION         </v>
      </c>
      <c r="I644" t="str">
        <f>CLEAN("EX- CONSTRUCT/ BRRHB               ")</f>
        <v xml:space="preserve">EX- CONSTRUCT/ BRRHB               </v>
      </c>
      <c r="J644" t="str">
        <f t="shared" si="198"/>
        <v>USH 051</v>
      </c>
      <c r="K644" t="str">
        <f t="shared" si="199"/>
        <v xml:space="preserve">ROCK                          </v>
      </c>
      <c r="L644" t="str">
        <f t="shared" si="200"/>
        <v xml:space="preserve">C JANESVILLE, CENTER AVENUE        </v>
      </c>
      <c r="M644" t="str">
        <f>CLEAN("UP RR STRUCTURE B-53-135           ")</f>
        <v xml:space="preserve">UP RR STRUCTURE B-53-135           </v>
      </c>
      <c r="N644">
        <v>0.30299999999999999</v>
      </c>
      <c r="O644" t="str">
        <f>CLEAN("5350-02-74")</f>
        <v>5350-02-74</v>
      </c>
      <c r="P64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45" spans="1:16" x14ac:dyDescent="0.25">
      <c r="A645" t="str">
        <f t="shared" si="195"/>
        <v>10</v>
      </c>
      <c r="B645" t="str">
        <f t="shared" si="196"/>
        <v>21</v>
      </c>
      <c r="C645" s="1">
        <v>45608</v>
      </c>
      <c r="D645" t="str">
        <f>CLEAN("5350-02-65")</f>
        <v>5350-02-65</v>
      </c>
      <c r="E645" t="str">
        <f t="shared" si="197"/>
        <v xml:space="preserve">303  </v>
      </c>
      <c r="F645" t="str">
        <f>CLEAN("$500,000 - $749,999      ")</f>
        <v xml:space="preserve">$500,000 - $749,999      </v>
      </c>
      <c r="G645" t="str">
        <f t="shared" si="201"/>
        <v>LET</v>
      </c>
      <c r="H645" t="str">
        <f t="shared" si="202"/>
        <v xml:space="preserve">LET CONSTRUCTION         </v>
      </c>
      <c r="I645" t="str">
        <f>CLEAN("EX- CONSTRUCT/ BRRHB               ")</f>
        <v xml:space="preserve">EX- CONSTRUCT/ BRRHB               </v>
      </c>
      <c r="J645" t="str">
        <f t="shared" si="198"/>
        <v>USH 051</v>
      </c>
      <c r="K645" t="str">
        <f t="shared" si="199"/>
        <v xml:space="preserve">ROCK                          </v>
      </c>
      <c r="L645" t="str">
        <f t="shared" si="200"/>
        <v xml:space="preserve">C JANESVILLE, CENTER AVENUE        </v>
      </c>
      <c r="M645" t="str">
        <f>CLEAN("UP RR STRUCTURE B-53-135           ")</f>
        <v xml:space="preserve">UP RR STRUCTURE B-53-135           </v>
      </c>
      <c r="N645">
        <v>0.30299999999999999</v>
      </c>
      <c r="O645" t="str">
        <f>CLEAN("5350-02-75")</f>
        <v>5350-02-75</v>
      </c>
      <c r="P645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46" spans="1:16" x14ac:dyDescent="0.25">
      <c r="A646" t="str">
        <f t="shared" si="195"/>
        <v>10</v>
      </c>
      <c r="B646" t="str">
        <f t="shared" si="196"/>
        <v>21</v>
      </c>
      <c r="C646" s="1">
        <v>45335</v>
      </c>
      <c r="D646" t="str">
        <f>CLEAN("5350-02-70")</f>
        <v>5350-02-70</v>
      </c>
      <c r="E646" t="str">
        <f t="shared" si="197"/>
        <v xml:space="preserve">303  </v>
      </c>
      <c r="F646" t="str">
        <f>CLEAN("$9,000,000 - $9,999,999  ")</f>
        <v xml:space="preserve">$9,000,000 - $9,999,999  </v>
      </c>
      <c r="G646" t="str">
        <f t="shared" si="201"/>
        <v>LET</v>
      </c>
      <c r="H646" t="str">
        <f t="shared" si="202"/>
        <v xml:space="preserve">LET CONSTRUCTION         </v>
      </c>
      <c r="I646" t="str">
        <f>CLEAN("CONST/ PAVEMENT REPLACEMENT        ")</f>
        <v xml:space="preserve">CONST/ PAVEMENT REPLACEMENT        </v>
      </c>
      <c r="J646" t="str">
        <f t="shared" si="198"/>
        <v>USH 051</v>
      </c>
      <c r="K646" t="str">
        <f t="shared" si="199"/>
        <v xml:space="preserve">ROCK                          </v>
      </c>
      <c r="L646" t="str">
        <f t="shared" si="200"/>
        <v xml:space="preserve">C JANESVILLE, CENTER AVENUE        </v>
      </c>
      <c r="M646" t="str">
        <f>CLEAN("NICOLET STREET TO COURT STREET     ")</f>
        <v xml:space="preserve">NICOLET STREET TO COURT STREET     </v>
      </c>
      <c r="N646">
        <v>1.46</v>
      </c>
      <c r="O646" t="str">
        <f>CLEAN("5350-02-71")</f>
        <v>5350-02-71</v>
      </c>
      <c r="P64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7" spans="1:16" x14ac:dyDescent="0.25">
      <c r="A647" t="str">
        <f t="shared" si="195"/>
        <v>10</v>
      </c>
      <c r="B647" t="str">
        <f t="shared" si="196"/>
        <v>21</v>
      </c>
      <c r="C647" s="1">
        <v>45335</v>
      </c>
      <c r="D647" t="str">
        <f>CLEAN("5350-02-70")</f>
        <v>5350-02-70</v>
      </c>
      <c r="E647" t="str">
        <f t="shared" si="197"/>
        <v xml:space="preserve">303  </v>
      </c>
      <c r="F647" t="str">
        <f>CLEAN("$9,000,000 - $9,999,999  ")</f>
        <v xml:space="preserve">$9,000,000 - $9,999,999  </v>
      </c>
      <c r="G647" t="str">
        <f t="shared" si="201"/>
        <v>LET</v>
      </c>
      <c r="H647" t="str">
        <f t="shared" si="202"/>
        <v xml:space="preserve">LET CONSTRUCTION         </v>
      </c>
      <c r="I647" t="str">
        <f>CLEAN("CONST/ PAVEMENT REPLACEMENT        ")</f>
        <v xml:space="preserve">CONST/ PAVEMENT REPLACEMENT        </v>
      </c>
      <c r="J647" t="str">
        <f t="shared" si="198"/>
        <v>USH 051</v>
      </c>
      <c r="K647" t="str">
        <f t="shared" si="199"/>
        <v xml:space="preserve">ROCK                          </v>
      </c>
      <c r="L647" t="str">
        <f t="shared" si="200"/>
        <v xml:space="preserve">C JANESVILLE, CENTER AVENUE        </v>
      </c>
      <c r="M647" t="str">
        <f>CLEAN("NICOLET STREET TO COURT STREET     ")</f>
        <v xml:space="preserve">NICOLET STREET TO COURT STREET     </v>
      </c>
      <c r="N647">
        <v>1.46</v>
      </c>
      <c r="O647" t="str">
        <f>CLEAN("5350-02-73")</f>
        <v>5350-02-73</v>
      </c>
      <c r="P6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8" spans="1:16" x14ac:dyDescent="0.25">
      <c r="A648" t="str">
        <f t="shared" si="195"/>
        <v>10</v>
      </c>
      <c r="B648" t="str">
        <f t="shared" si="196"/>
        <v>21</v>
      </c>
      <c r="C648" s="1">
        <v>45335</v>
      </c>
      <c r="D648" t="str">
        <f>CLEAN("5350-02-71")</f>
        <v>5350-02-71</v>
      </c>
      <c r="E648" t="str">
        <f t="shared" si="197"/>
        <v xml:space="preserve">303  </v>
      </c>
      <c r="F648" t="str">
        <f t="shared" ref="F648:F655" si="203">CLEAN("$2,000,000 - $2,999,999  ")</f>
        <v xml:space="preserve">$2,000,000 - $2,999,999  </v>
      </c>
      <c r="G648" t="str">
        <f t="shared" si="201"/>
        <v>LET</v>
      </c>
      <c r="H648" t="str">
        <f t="shared" si="202"/>
        <v xml:space="preserve">LET CONSTRUCTION         </v>
      </c>
      <c r="I648" t="str">
        <f>CLEAN("CONST/ WATER MAIN                  ")</f>
        <v xml:space="preserve">CONST/ WATER MAIN                  </v>
      </c>
      <c r="J648" t="str">
        <f t="shared" si="198"/>
        <v>USH 051</v>
      </c>
      <c r="K648" t="str">
        <f t="shared" si="199"/>
        <v xml:space="preserve">ROCK                          </v>
      </c>
      <c r="L648" t="str">
        <f>CLEAN("C JANESVILLE, CENTER AVE           ")</f>
        <v xml:space="preserve">C JANESVILLE, CENTER AVE           </v>
      </c>
      <c r="M648" t="str">
        <f>CLEAN("NICOLET STREET TO COURT STREET     ")</f>
        <v xml:space="preserve">NICOLET STREET TO COURT STREET     </v>
      </c>
      <c r="N648">
        <v>1.127</v>
      </c>
      <c r="O648" t="str">
        <f>CLEAN("5350-02-70")</f>
        <v>5350-02-70</v>
      </c>
      <c r="P64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9" spans="1:16" x14ac:dyDescent="0.25">
      <c r="A649" t="str">
        <f t="shared" si="195"/>
        <v>10</v>
      </c>
      <c r="B649" t="str">
        <f t="shared" si="196"/>
        <v>21</v>
      </c>
      <c r="C649" s="1">
        <v>45335</v>
      </c>
      <c r="D649" t="str">
        <f>CLEAN("5350-02-71")</f>
        <v>5350-02-71</v>
      </c>
      <c r="E649" t="str">
        <f t="shared" si="197"/>
        <v xml:space="preserve">303  </v>
      </c>
      <c r="F649" t="str">
        <f t="shared" si="203"/>
        <v xml:space="preserve">$2,000,000 - $2,999,999  </v>
      </c>
      <c r="G649" t="str">
        <f t="shared" si="201"/>
        <v>LET</v>
      </c>
      <c r="H649" t="str">
        <f t="shared" si="202"/>
        <v xml:space="preserve">LET CONSTRUCTION         </v>
      </c>
      <c r="I649" t="str">
        <f>CLEAN("CONST/ WATER MAIN                  ")</f>
        <v xml:space="preserve">CONST/ WATER MAIN                  </v>
      </c>
      <c r="J649" t="str">
        <f t="shared" si="198"/>
        <v>USH 051</v>
      </c>
      <c r="K649" t="str">
        <f t="shared" si="199"/>
        <v xml:space="preserve">ROCK                          </v>
      </c>
      <c r="L649" t="str">
        <f>CLEAN("C JANESVILLE, CENTER AVE           ")</f>
        <v xml:space="preserve">C JANESVILLE, CENTER AVE           </v>
      </c>
      <c r="M649" t="str">
        <f>CLEAN("NICOLET STREET TO COURT STREET     ")</f>
        <v xml:space="preserve">NICOLET STREET TO COURT STREET     </v>
      </c>
      <c r="N649">
        <v>1.127</v>
      </c>
      <c r="O649" t="str">
        <f>CLEAN("5350-02-73")</f>
        <v>5350-02-73</v>
      </c>
      <c r="P64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50" spans="1:16" x14ac:dyDescent="0.25">
      <c r="A650" t="str">
        <f t="shared" si="195"/>
        <v>10</v>
      </c>
      <c r="B650" t="str">
        <f t="shared" si="196"/>
        <v>21</v>
      </c>
      <c r="C650" s="1">
        <v>45608</v>
      </c>
      <c r="D650" t="str">
        <f t="shared" ref="D650:D655" si="204">CLEAN("5350-02-72")</f>
        <v>5350-02-72</v>
      </c>
      <c r="E650" t="str">
        <f t="shared" si="197"/>
        <v xml:space="preserve">303  </v>
      </c>
      <c r="F650" t="str">
        <f t="shared" si="203"/>
        <v xml:space="preserve">$2,000,000 - $2,999,999  </v>
      </c>
      <c r="G650" t="str">
        <f t="shared" si="201"/>
        <v>LET</v>
      </c>
      <c r="H650" t="str">
        <f t="shared" si="202"/>
        <v xml:space="preserve">LET CONSTRUCTION         </v>
      </c>
      <c r="I650" t="str">
        <f t="shared" ref="I650:I655" si="205">CLEAN("CONST/INTERSECTION IMPROVEMENTS    ")</f>
        <v xml:space="preserve">CONST/INTERSECTION IMPROVEMENTS    </v>
      </c>
      <c r="J650" t="str">
        <f t="shared" si="198"/>
        <v>USH 051</v>
      </c>
      <c r="K650" t="str">
        <f t="shared" si="199"/>
        <v xml:space="preserve">ROCK                          </v>
      </c>
      <c r="L650" t="str">
        <f t="shared" ref="L650:L663" si="206">CLEAN("C JANESVILLE, CENTER AVENUE        ")</f>
        <v xml:space="preserve">C JANESVILLE, CENTER AVENUE        </v>
      </c>
      <c r="M650" t="str">
        <f t="shared" ref="M650:M655" si="207">CLEAN("COURT/MILWAUKEE/CENTERWAY INTERSCTN")</f>
        <v>COURT/MILWAUKEE/CENTERWAY INTERSCTN</v>
      </c>
      <c r="N650">
        <v>0.14299999999999999</v>
      </c>
      <c r="O650" t="str">
        <f>CLEAN("5350-02-65")</f>
        <v>5350-02-65</v>
      </c>
      <c r="P65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51" spans="1:16" x14ac:dyDescent="0.25">
      <c r="A651" t="str">
        <f t="shared" si="195"/>
        <v>10</v>
      </c>
      <c r="B651" t="str">
        <f t="shared" si="196"/>
        <v>21</v>
      </c>
      <c r="C651" s="1">
        <v>45608</v>
      </c>
      <c r="D651" t="str">
        <f t="shared" si="204"/>
        <v>5350-02-72</v>
      </c>
      <c r="E651" t="str">
        <f t="shared" si="197"/>
        <v xml:space="preserve">303  </v>
      </c>
      <c r="F651" t="str">
        <f t="shared" si="203"/>
        <v xml:space="preserve">$2,000,000 - $2,999,999  </v>
      </c>
      <c r="G651" t="str">
        <f t="shared" si="201"/>
        <v>LET</v>
      </c>
      <c r="H651" t="str">
        <f t="shared" si="202"/>
        <v xml:space="preserve">LET CONSTRUCTION         </v>
      </c>
      <c r="I651" t="str">
        <f t="shared" si="205"/>
        <v xml:space="preserve">CONST/INTERSECTION IMPROVEMENTS    </v>
      </c>
      <c r="J651" t="str">
        <f t="shared" si="198"/>
        <v>USH 051</v>
      </c>
      <c r="K651" t="str">
        <f t="shared" si="199"/>
        <v xml:space="preserve">ROCK                          </v>
      </c>
      <c r="L651" t="str">
        <f t="shared" si="206"/>
        <v xml:space="preserve">C JANESVILLE, CENTER AVENUE        </v>
      </c>
      <c r="M651" t="str">
        <f t="shared" si="207"/>
        <v>COURT/MILWAUKEE/CENTERWAY INTERSCTN</v>
      </c>
      <c r="N651">
        <v>0.14299999999999999</v>
      </c>
      <c r="O651" t="str">
        <f>CLEAN("5350-02-65")</f>
        <v>5350-02-65</v>
      </c>
      <c r="P6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52" spans="1:16" x14ac:dyDescent="0.25">
      <c r="A652" t="str">
        <f t="shared" si="195"/>
        <v>10</v>
      </c>
      <c r="B652" t="str">
        <f t="shared" si="196"/>
        <v>21</v>
      </c>
      <c r="C652" s="1">
        <v>45608</v>
      </c>
      <c r="D652" t="str">
        <f t="shared" si="204"/>
        <v>5350-02-72</v>
      </c>
      <c r="E652" t="str">
        <f t="shared" si="197"/>
        <v xml:space="preserve">303  </v>
      </c>
      <c r="F652" t="str">
        <f t="shared" si="203"/>
        <v xml:space="preserve">$2,000,000 - $2,999,999  </v>
      </c>
      <c r="G652" t="str">
        <f t="shared" si="201"/>
        <v>LET</v>
      </c>
      <c r="H652" t="str">
        <f t="shared" si="202"/>
        <v xml:space="preserve">LET CONSTRUCTION         </v>
      </c>
      <c r="I652" t="str">
        <f t="shared" si="205"/>
        <v xml:space="preserve">CONST/INTERSECTION IMPROVEMENTS    </v>
      </c>
      <c r="J652" t="str">
        <f t="shared" si="198"/>
        <v>USH 051</v>
      </c>
      <c r="K652" t="str">
        <f t="shared" si="199"/>
        <v xml:space="preserve">ROCK                          </v>
      </c>
      <c r="L652" t="str">
        <f t="shared" si="206"/>
        <v xml:space="preserve">C JANESVILLE, CENTER AVENUE        </v>
      </c>
      <c r="M652" t="str">
        <f t="shared" si="207"/>
        <v>COURT/MILWAUKEE/CENTERWAY INTERSCTN</v>
      </c>
      <c r="N652">
        <v>0.14299999999999999</v>
      </c>
      <c r="O652" t="str">
        <f>CLEAN("5350-02-74")</f>
        <v>5350-02-74</v>
      </c>
      <c r="P65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53" spans="1:16" x14ac:dyDescent="0.25">
      <c r="A653" t="str">
        <f t="shared" si="195"/>
        <v>10</v>
      </c>
      <c r="B653" t="str">
        <f t="shared" si="196"/>
        <v>21</v>
      </c>
      <c r="C653" s="1">
        <v>45608</v>
      </c>
      <c r="D653" t="str">
        <f t="shared" si="204"/>
        <v>5350-02-72</v>
      </c>
      <c r="E653" t="str">
        <f t="shared" si="197"/>
        <v xml:space="preserve">303  </v>
      </c>
      <c r="F653" t="str">
        <f t="shared" si="203"/>
        <v xml:space="preserve">$2,000,000 - $2,999,999  </v>
      </c>
      <c r="G653" t="str">
        <f t="shared" si="201"/>
        <v>LET</v>
      </c>
      <c r="H653" t="str">
        <f t="shared" si="202"/>
        <v xml:space="preserve">LET CONSTRUCTION         </v>
      </c>
      <c r="I653" t="str">
        <f t="shared" si="205"/>
        <v xml:space="preserve">CONST/INTERSECTION IMPROVEMENTS    </v>
      </c>
      <c r="J653" t="str">
        <f t="shared" si="198"/>
        <v>USH 051</v>
      </c>
      <c r="K653" t="str">
        <f t="shared" si="199"/>
        <v xml:space="preserve">ROCK                          </v>
      </c>
      <c r="L653" t="str">
        <f t="shared" si="206"/>
        <v xml:space="preserve">C JANESVILLE, CENTER AVENUE        </v>
      </c>
      <c r="M653" t="str">
        <f t="shared" si="207"/>
        <v>COURT/MILWAUKEE/CENTERWAY INTERSCTN</v>
      </c>
      <c r="N653">
        <v>0.14299999999999999</v>
      </c>
      <c r="O653" t="str">
        <f>CLEAN("5350-02-74")</f>
        <v>5350-02-74</v>
      </c>
      <c r="P6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54" spans="1:16" x14ac:dyDescent="0.25">
      <c r="A654" t="str">
        <f t="shared" si="195"/>
        <v>10</v>
      </c>
      <c r="B654" t="str">
        <f t="shared" si="196"/>
        <v>21</v>
      </c>
      <c r="C654" s="1">
        <v>45608</v>
      </c>
      <c r="D654" t="str">
        <f t="shared" si="204"/>
        <v>5350-02-72</v>
      </c>
      <c r="E654" t="str">
        <f t="shared" si="197"/>
        <v xml:space="preserve">303  </v>
      </c>
      <c r="F654" t="str">
        <f t="shared" si="203"/>
        <v xml:space="preserve">$2,000,000 - $2,999,999  </v>
      </c>
      <c r="G654" t="str">
        <f t="shared" si="201"/>
        <v>LET</v>
      </c>
      <c r="H654" t="str">
        <f t="shared" si="202"/>
        <v xml:space="preserve">LET CONSTRUCTION         </v>
      </c>
      <c r="I654" t="str">
        <f t="shared" si="205"/>
        <v xml:space="preserve">CONST/INTERSECTION IMPROVEMENTS    </v>
      </c>
      <c r="J654" t="str">
        <f t="shared" si="198"/>
        <v>USH 051</v>
      </c>
      <c r="K654" t="str">
        <f t="shared" si="199"/>
        <v xml:space="preserve">ROCK                          </v>
      </c>
      <c r="L654" t="str">
        <f t="shared" si="206"/>
        <v xml:space="preserve">C JANESVILLE, CENTER AVENUE        </v>
      </c>
      <c r="M654" t="str">
        <f t="shared" si="207"/>
        <v>COURT/MILWAUKEE/CENTERWAY INTERSCTN</v>
      </c>
      <c r="N654">
        <v>0.14299999999999999</v>
      </c>
      <c r="O654" t="str">
        <f>CLEAN("5350-02-75")</f>
        <v>5350-02-75</v>
      </c>
      <c r="P65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55" spans="1:16" x14ac:dyDescent="0.25">
      <c r="A655" t="str">
        <f t="shared" si="195"/>
        <v>10</v>
      </c>
      <c r="B655" t="str">
        <f t="shared" si="196"/>
        <v>21</v>
      </c>
      <c r="C655" s="1">
        <v>45608</v>
      </c>
      <c r="D655" t="str">
        <f t="shared" si="204"/>
        <v>5350-02-72</v>
      </c>
      <c r="E655" t="str">
        <f t="shared" si="197"/>
        <v xml:space="preserve">303  </v>
      </c>
      <c r="F655" t="str">
        <f t="shared" si="203"/>
        <v xml:space="preserve">$2,000,000 - $2,999,999  </v>
      </c>
      <c r="G655" t="str">
        <f t="shared" si="201"/>
        <v>LET</v>
      </c>
      <c r="H655" t="str">
        <f t="shared" si="202"/>
        <v xml:space="preserve">LET CONSTRUCTION         </v>
      </c>
      <c r="I655" t="str">
        <f t="shared" si="205"/>
        <v xml:space="preserve">CONST/INTERSECTION IMPROVEMENTS    </v>
      </c>
      <c r="J655" t="str">
        <f t="shared" si="198"/>
        <v>USH 051</v>
      </c>
      <c r="K655" t="str">
        <f t="shared" si="199"/>
        <v xml:space="preserve">ROCK                          </v>
      </c>
      <c r="L655" t="str">
        <f t="shared" si="206"/>
        <v xml:space="preserve">C JANESVILLE, CENTER AVENUE        </v>
      </c>
      <c r="M655" t="str">
        <f t="shared" si="207"/>
        <v>COURT/MILWAUKEE/CENTERWAY INTERSCTN</v>
      </c>
      <c r="N655">
        <v>0.14299999999999999</v>
      </c>
      <c r="O655" t="str">
        <f>CLEAN("5350-02-75")</f>
        <v>5350-02-75</v>
      </c>
      <c r="P65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56" spans="1:16" x14ac:dyDescent="0.25">
      <c r="A656" t="str">
        <f t="shared" si="195"/>
        <v>10</v>
      </c>
      <c r="B656" t="str">
        <f t="shared" si="196"/>
        <v>21</v>
      </c>
      <c r="C656" s="1">
        <v>45335</v>
      </c>
      <c r="D656" t="str">
        <f>CLEAN("5350-02-73")</f>
        <v>5350-02-73</v>
      </c>
      <c r="E656" t="str">
        <f t="shared" si="197"/>
        <v xml:space="preserve">303  </v>
      </c>
      <c r="F656" t="str">
        <f>CLEAN("$0 - $99,999             ")</f>
        <v xml:space="preserve">$0 - $99,999             </v>
      </c>
      <c r="G656" t="str">
        <f t="shared" si="201"/>
        <v>LET</v>
      </c>
      <c r="H656" t="str">
        <f t="shared" si="202"/>
        <v xml:space="preserve">LET CONSTRUCTION         </v>
      </c>
      <c r="I656" t="str">
        <f>CLEAN("CONST/PEDESTRIAN REFUGE            ")</f>
        <v xml:space="preserve">CONST/PEDESTRIAN REFUGE            </v>
      </c>
      <c r="J656" t="str">
        <f t="shared" si="198"/>
        <v>USH 051</v>
      </c>
      <c r="K656" t="str">
        <f t="shared" si="199"/>
        <v xml:space="preserve">ROCK                          </v>
      </c>
      <c r="L656" t="str">
        <f t="shared" si="206"/>
        <v xml:space="preserve">C JANESVILLE, CENTER AVENUE        </v>
      </c>
      <c r="M656" t="str">
        <f>CLEAN("MCKINLEY STREET INTERSECTION       ")</f>
        <v xml:space="preserve">MCKINLEY STREET INTERSECTION       </v>
      </c>
      <c r="N656">
        <v>2.7E-2</v>
      </c>
      <c r="O656" t="str">
        <f>CLEAN("5350-02-70")</f>
        <v>5350-02-70</v>
      </c>
      <c r="P65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57" spans="1:16" x14ac:dyDescent="0.25">
      <c r="A657" t="str">
        <f t="shared" si="195"/>
        <v>10</v>
      </c>
      <c r="B657" t="str">
        <f t="shared" si="196"/>
        <v>21</v>
      </c>
      <c r="C657" s="1">
        <v>45335</v>
      </c>
      <c r="D657" t="str">
        <f>CLEAN("5350-02-73")</f>
        <v>5350-02-73</v>
      </c>
      <c r="E657" t="str">
        <f t="shared" si="197"/>
        <v xml:space="preserve">303  </v>
      </c>
      <c r="F657" t="str">
        <f>CLEAN("$0 - $99,999             ")</f>
        <v xml:space="preserve">$0 - $99,999             </v>
      </c>
      <c r="G657" t="str">
        <f t="shared" si="201"/>
        <v>LET</v>
      </c>
      <c r="H657" t="str">
        <f t="shared" si="202"/>
        <v xml:space="preserve">LET CONSTRUCTION         </v>
      </c>
      <c r="I657" t="str">
        <f>CLEAN("CONST/PEDESTRIAN REFUGE            ")</f>
        <v xml:space="preserve">CONST/PEDESTRIAN REFUGE            </v>
      </c>
      <c r="J657" t="str">
        <f t="shared" si="198"/>
        <v>USH 051</v>
      </c>
      <c r="K657" t="str">
        <f t="shared" si="199"/>
        <v xml:space="preserve">ROCK                          </v>
      </c>
      <c r="L657" t="str">
        <f t="shared" si="206"/>
        <v xml:space="preserve">C JANESVILLE, CENTER AVENUE        </v>
      </c>
      <c r="M657" t="str">
        <f>CLEAN("MCKINLEY STREET INTERSECTION       ")</f>
        <v xml:space="preserve">MCKINLEY STREET INTERSECTION       </v>
      </c>
      <c r="N657">
        <v>2.7E-2</v>
      </c>
      <c r="O657" t="str">
        <f>CLEAN("5350-02-71")</f>
        <v>5350-02-71</v>
      </c>
      <c r="P65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58" spans="1:16" x14ac:dyDescent="0.25">
      <c r="A658" t="str">
        <f t="shared" si="195"/>
        <v>10</v>
      </c>
      <c r="B658" t="str">
        <f t="shared" si="196"/>
        <v>21</v>
      </c>
      <c r="C658" s="1">
        <v>45608</v>
      </c>
      <c r="D658" t="str">
        <f>CLEAN("5350-02-74")</f>
        <v>5350-02-74</v>
      </c>
      <c r="E658" t="str">
        <f t="shared" si="197"/>
        <v xml:space="preserve">303  </v>
      </c>
      <c r="F658" t="str">
        <f>CLEAN("$500,000 - $749,999      ")</f>
        <v xml:space="preserve">$500,000 - $749,999      </v>
      </c>
      <c r="G658" t="str">
        <f t="shared" si="201"/>
        <v>LET</v>
      </c>
      <c r="H658" t="str">
        <f t="shared" si="202"/>
        <v xml:space="preserve">LET CONSTRUCTION         </v>
      </c>
      <c r="I658" t="str">
        <f>CLEAN("CONST/WATER MAIN FOR 5350-02-72    ")</f>
        <v xml:space="preserve">CONST/WATER MAIN FOR 5350-02-72    </v>
      </c>
      <c r="J658" t="str">
        <f t="shared" si="198"/>
        <v>USH 051</v>
      </c>
      <c r="K658" t="str">
        <f t="shared" si="199"/>
        <v xml:space="preserve">ROCK                          </v>
      </c>
      <c r="L658" t="str">
        <f t="shared" si="206"/>
        <v xml:space="preserve">C JANESVILLE, CENTER AVENUE        </v>
      </c>
      <c r="M658" t="str">
        <f>CLEAN("COURT/MILWAUKEE/CENTERWAY INTERSCT ")</f>
        <v xml:space="preserve">COURT/MILWAUKEE/CENTERWAY INTERSCT </v>
      </c>
      <c r="N658">
        <v>0.14299999999999999</v>
      </c>
      <c r="O658" t="str">
        <f>CLEAN("5350-02-65")</f>
        <v>5350-02-65</v>
      </c>
      <c r="P658" t="str">
        <f t="shared" ref="P658:P663" si="208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59" spans="1:16" x14ac:dyDescent="0.25">
      <c r="A659" t="str">
        <f t="shared" si="195"/>
        <v>10</v>
      </c>
      <c r="B659" t="str">
        <f t="shared" si="196"/>
        <v>21</v>
      </c>
      <c r="C659" s="1">
        <v>45608</v>
      </c>
      <c r="D659" t="str">
        <f>CLEAN("5350-02-74")</f>
        <v>5350-02-74</v>
      </c>
      <c r="E659" t="str">
        <f t="shared" si="197"/>
        <v xml:space="preserve">303  </v>
      </c>
      <c r="F659" t="str">
        <f>CLEAN("$500,000 - $749,999      ")</f>
        <v xml:space="preserve">$500,000 - $749,999      </v>
      </c>
      <c r="G659" t="str">
        <f t="shared" si="201"/>
        <v>LET</v>
      </c>
      <c r="H659" t="str">
        <f t="shared" si="202"/>
        <v xml:space="preserve">LET CONSTRUCTION         </v>
      </c>
      <c r="I659" t="str">
        <f>CLEAN("CONST/WATER MAIN FOR 5350-02-72    ")</f>
        <v xml:space="preserve">CONST/WATER MAIN FOR 5350-02-72    </v>
      </c>
      <c r="J659" t="str">
        <f t="shared" si="198"/>
        <v>USH 051</v>
      </c>
      <c r="K659" t="str">
        <f t="shared" si="199"/>
        <v xml:space="preserve">ROCK                          </v>
      </c>
      <c r="L659" t="str">
        <f t="shared" si="206"/>
        <v xml:space="preserve">C JANESVILLE, CENTER AVENUE        </v>
      </c>
      <c r="M659" t="str">
        <f>CLEAN("COURT/MILWAUKEE/CENTERWAY INTERSCT ")</f>
        <v xml:space="preserve">COURT/MILWAUKEE/CENTERWAY INTERSCT </v>
      </c>
      <c r="N659">
        <v>0.14299999999999999</v>
      </c>
      <c r="O659" t="str">
        <f>CLEAN("5350-02-72")</f>
        <v>5350-02-72</v>
      </c>
      <c r="P659" t="str">
        <f t="shared" si="208"/>
        <v xml:space="preserve">STATE 3R                                                                                            </v>
      </c>
    </row>
    <row r="660" spans="1:16" x14ac:dyDescent="0.25">
      <c r="A660" t="str">
        <f t="shared" si="195"/>
        <v>10</v>
      </c>
      <c r="B660" t="str">
        <f t="shared" si="196"/>
        <v>21</v>
      </c>
      <c r="C660" s="1">
        <v>45608</v>
      </c>
      <c r="D660" t="str">
        <f>CLEAN("5350-02-74")</f>
        <v>5350-02-74</v>
      </c>
      <c r="E660" t="str">
        <f t="shared" si="197"/>
        <v xml:space="preserve">303  </v>
      </c>
      <c r="F660" t="str">
        <f>CLEAN("$500,000 - $749,999      ")</f>
        <v xml:space="preserve">$500,000 - $749,999      </v>
      </c>
      <c r="G660" t="str">
        <f t="shared" si="201"/>
        <v>LET</v>
      </c>
      <c r="H660" t="str">
        <f t="shared" si="202"/>
        <v xml:space="preserve">LET CONSTRUCTION         </v>
      </c>
      <c r="I660" t="str">
        <f>CLEAN("CONST/WATER MAIN FOR 5350-02-72    ")</f>
        <v xml:space="preserve">CONST/WATER MAIN FOR 5350-02-72    </v>
      </c>
      <c r="J660" t="str">
        <f t="shared" si="198"/>
        <v>USH 051</v>
      </c>
      <c r="K660" t="str">
        <f t="shared" si="199"/>
        <v xml:space="preserve">ROCK                          </v>
      </c>
      <c r="L660" t="str">
        <f t="shared" si="206"/>
        <v xml:space="preserve">C JANESVILLE, CENTER AVENUE        </v>
      </c>
      <c r="M660" t="str">
        <f>CLEAN("COURT/MILWAUKEE/CENTERWAY INTERSCT ")</f>
        <v xml:space="preserve">COURT/MILWAUKEE/CENTERWAY INTERSCT </v>
      </c>
      <c r="N660">
        <v>0.14299999999999999</v>
      </c>
      <c r="O660" t="str">
        <f>CLEAN("5350-02-75")</f>
        <v>5350-02-75</v>
      </c>
      <c r="P660" t="str">
        <f t="shared" si="208"/>
        <v xml:space="preserve">STATE 3R                                                                                            </v>
      </c>
    </row>
    <row r="661" spans="1:16" x14ac:dyDescent="0.25">
      <c r="A661" t="str">
        <f t="shared" si="195"/>
        <v>10</v>
      </c>
      <c r="B661" t="str">
        <f t="shared" si="196"/>
        <v>21</v>
      </c>
      <c r="C661" s="1">
        <v>45608</v>
      </c>
      <c r="D661" t="str">
        <f>CLEAN("5350-02-75")</f>
        <v>5350-02-75</v>
      </c>
      <c r="E661" t="str">
        <f t="shared" si="197"/>
        <v xml:space="preserve">303  </v>
      </c>
      <c r="F661" t="str">
        <f>CLEAN("$750,000 - $999,999      ")</f>
        <v xml:space="preserve">$750,000 - $999,999      </v>
      </c>
      <c r="G661" t="str">
        <f t="shared" si="201"/>
        <v>LET</v>
      </c>
      <c r="H661" t="str">
        <f t="shared" si="202"/>
        <v xml:space="preserve">LET CONSTRUCTION         </v>
      </c>
      <c r="I661" t="str">
        <f>CLEAN("CONSTRUCT/ RSRF20                  ")</f>
        <v xml:space="preserve">CONSTRUCT/ RSRF20                  </v>
      </c>
      <c r="J661" t="str">
        <f t="shared" si="198"/>
        <v>USH 051</v>
      </c>
      <c r="K661" t="str">
        <f t="shared" si="199"/>
        <v xml:space="preserve">ROCK                          </v>
      </c>
      <c r="L661" t="str">
        <f t="shared" si="206"/>
        <v xml:space="preserve">C JANESVILLE, CENTER AVENUE        </v>
      </c>
      <c r="M661" t="str">
        <f>CLEAN("W STATE ST TO WSOR BRIDGE B-53-154 ")</f>
        <v xml:space="preserve">W STATE ST TO WSOR BRIDGE B-53-154 </v>
      </c>
      <c r="N661">
        <v>0.185</v>
      </c>
      <c r="O661" t="str">
        <f>CLEAN("5350-02-65")</f>
        <v>5350-02-65</v>
      </c>
      <c r="P661" t="str">
        <f t="shared" si="208"/>
        <v xml:space="preserve">STATE 3R                                                                                            </v>
      </c>
    </row>
    <row r="662" spans="1:16" x14ac:dyDescent="0.25">
      <c r="A662" t="str">
        <f t="shared" si="195"/>
        <v>10</v>
      </c>
      <c r="B662" t="str">
        <f t="shared" si="196"/>
        <v>21</v>
      </c>
      <c r="C662" s="1">
        <v>45608</v>
      </c>
      <c r="D662" t="str">
        <f>CLEAN("5350-02-75")</f>
        <v>5350-02-75</v>
      </c>
      <c r="E662" t="str">
        <f t="shared" si="197"/>
        <v xml:space="preserve">303  </v>
      </c>
      <c r="F662" t="str">
        <f>CLEAN("$750,000 - $999,999      ")</f>
        <v xml:space="preserve">$750,000 - $999,999      </v>
      </c>
      <c r="G662" t="str">
        <f t="shared" si="201"/>
        <v>LET</v>
      </c>
      <c r="H662" t="str">
        <f t="shared" si="202"/>
        <v xml:space="preserve">LET CONSTRUCTION         </v>
      </c>
      <c r="I662" t="str">
        <f>CLEAN("CONSTRUCT/ RSRF20                  ")</f>
        <v xml:space="preserve">CONSTRUCT/ RSRF20                  </v>
      </c>
      <c r="J662" t="str">
        <f t="shared" si="198"/>
        <v>USH 051</v>
      </c>
      <c r="K662" t="str">
        <f t="shared" si="199"/>
        <v xml:space="preserve">ROCK                          </v>
      </c>
      <c r="L662" t="str">
        <f t="shared" si="206"/>
        <v xml:space="preserve">C JANESVILLE, CENTER AVENUE        </v>
      </c>
      <c r="M662" t="str">
        <f>CLEAN("W STATE ST TO WSOR BRIDGE B-53-154 ")</f>
        <v xml:space="preserve">W STATE ST TO WSOR BRIDGE B-53-154 </v>
      </c>
      <c r="N662">
        <v>0.185</v>
      </c>
      <c r="O662" t="str">
        <f>CLEAN("5350-02-72")</f>
        <v>5350-02-72</v>
      </c>
      <c r="P662" t="str">
        <f t="shared" si="208"/>
        <v xml:space="preserve">STATE 3R                                                                                            </v>
      </c>
    </row>
    <row r="663" spans="1:16" x14ac:dyDescent="0.25">
      <c r="A663" t="str">
        <f t="shared" si="195"/>
        <v>10</v>
      </c>
      <c r="B663" t="str">
        <f t="shared" si="196"/>
        <v>21</v>
      </c>
      <c r="C663" s="1">
        <v>45608</v>
      </c>
      <c r="D663" t="str">
        <f>CLEAN("5350-02-75")</f>
        <v>5350-02-75</v>
      </c>
      <c r="E663" t="str">
        <f t="shared" si="197"/>
        <v xml:space="preserve">303  </v>
      </c>
      <c r="F663" t="str">
        <f>CLEAN("$750,000 - $999,999      ")</f>
        <v xml:space="preserve">$750,000 - $999,999      </v>
      </c>
      <c r="G663" t="str">
        <f t="shared" si="201"/>
        <v>LET</v>
      </c>
      <c r="H663" t="str">
        <f t="shared" si="202"/>
        <v xml:space="preserve">LET CONSTRUCTION         </v>
      </c>
      <c r="I663" t="str">
        <f>CLEAN("CONSTRUCT/ RSRF20                  ")</f>
        <v xml:space="preserve">CONSTRUCT/ RSRF20                  </v>
      </c>
      <c r="J663" t="str">
        <f t="shared" si="198"/>
        <v>USH 051</v>
      </c>
      <c r="K663" t="str">
        <f t="shared" si="199"/>
        <v xml:space="preserve">ROCK                          </v>
      </c>
      <c r="L663" t="str">
        <f t="shared" si="206"/>
        <v xml:space="preserve">C JANESVILLE, CENTER AVENUE        </v>
      </c>
      <c r="M663" t="str">
        <f>CLEAN("W STATE ST TO WSOR BRIDGE B-53-154 ")</f>
        <v xml:space="preserve">W STATE ST TO WSOR BRIDGE B-53-154 </v>
      </c>
      <c r="N663">
        <v>0.185</v>
      </c>
      <c r="O663" t="str">
        <f>CLEAN("5350-02-74")</f>
        <v>5350-02-74</v>
      </c>
      <c r="P663" t="str">
        <f t="shared" si="208"/>
        <v xml:space="preserve">STATE 3R                                                                                            </v>
      </c>
    </row>
    <row r="664" spans="1:16" x14ac:dyDescent="0.25">
      <c r="A664" t="str">
        <f t="shared" si="195"/>
        <v>10</v>
      </c>
      <c r="B664" t="str">
        <f t="shared" si="196"/>
        <v>21</v>
      </c>
      <c r="C664" s="1">
        <v>45636</v>
      </c>
      <c r="D664" t="str">
        <f>CLEAN("5378-00-74")</f>
        <v>5378-00-74</v>
      </c>
      <c r="E664" t="str">
        <f>CLEAN("205  ")</f>
        <v xml:space="preserve">205  </v>
      </c>
      <c r="F664" t="str">
        <f>CLEAN("$250,000 - $499,999      ")</f>
        <v xml:space="preserve">$250,000 - $499,999      </v>
      </c>
      <c r="G664" t="str">
        <f t="shared" si="201"/>
        <v>LET</v>
      </c>
      <c r="H664" t="str">
        <f t="shared" si="202"/>
        <v xml:space="preserve">LET CONSTRUCTION         </v>
      </c>
      <c r="I664" t="str">
        <f>CLEAN("CONST OPS/BRIDGE REPLACEMENT       ")</f>
        <v xml:space="preserve">CONST OPS/BRIDGE REPLACEMENT       </v>
      </c>
      <c r="J664" t="str">
        <f>CLEAN("LOC STR")</f>
        <v>LOC STR</v>
      </c>
      <c r="K664" t="str">
        <f>CLEAN("VERNON                        ")</f>
        <v xml:space="preserve">VERNON                        </v>
      </c>
      <c r="L664" t="str">
        <f>CLEAN("TOWN OF COON, CORNELL LANE         ")</f>
        <v xml:space="preserve">TOWN OF COON, CORNELL LANE         </v>
      </c>
      <c r="M664" t="str">
        <f>CLEAN("BR COON CREEK BRIDGE B-62-0274     ")</f>
        <v xml:space="preserve">BR COON CREEK BRIDGE B-62-0274     </v>
      </c>
      <c r="N664">
        <v>8.9999999999999993E-3</v>
      </c>
      <c r="O664" t="str">
        <f>CLEAN("          ")</f>
        <v xml:space="preserve">          </v>
      </c>
      <c r="P66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65" spans="1:16" x14ac:dyDescent="0.25">
      <c r="A665" t="str">
        <f t="shared" si="195"/>
        <v>10</v>
      </c>
      <c r="B665" t="str">
        <f t="shared" si="196"/>
        <v>21</v>
      </c>
      <c r="C665" s="1">
        <v>45498</v>
      </c>
      <c r="D665" t="str">
        <f>CLEAN("5407-00-71")</f>
        <v>5407-00-71</v>
      </c>
      <c r="E665" t="str">
        <f>CLEAN("290  ")</f>
        <v xml:space="preserve">290  </v>
      </c>
      <c r="F665" t="str">
        <f>CLEAN("$500,000 - $749,999      ")</f>
        <v xml:space="preserve">$500,000 - $749,999      </v>
      </c>
      <c r="G665" t="str">
        <f>CLEAN("LLC")</f>
        <v>LLC</v>
      </c>
      <c r="H665" t="str">
        <f>CLEAN("NONLET CONSTR/REAL ESTATE")</f>
        <v>NONLET CONSTR/REAL ESTATE</v>
      </c>
      <c r="I665" t="str">
        <f>CLEAN("PEDESTRAIN SAFETY IMPROVEMENTS     ")</f>
        <v xml:space="preserve">PEDESTRAIN SAFETY IMPROVEMENTS     </v>
      </c>
      <c r="J665" t="str">
        <f>CLEAN("NON HWY")</f>
        <v>NON HWY</v>
      </c>
      <c r="K665" t="str">
        <f>CLEAN("VERNON                        ")</f>
        <v xml:space="preserve">VERNON                        </v>
      </c>
      <c r="L665" t="str">
        <f>CLEAN("C VIROQUA, PED/BIKE SAFETY PROJECT ")</f>
        <v xml:space="preserve">C VIROQUA, PED/BIKE SAFETY PROJECT </v>
      </c>
      <c r="M665" t="str">
        <f>CLEAN("SOUTH STREET TO DECKER STR (STH 56)")</f>
        <v>SOUTH STREET TO DECKER STR (STH 56)</v>
      </c>
      <c r="N665">
        <v>0</v>
      </c>
      <c r="O665" t="str">
        <f>CLEAN("          ")</f>
        <v xml:space="preserve">          </v>
      </c>
      <c r="P665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666" spans="1:16" x14ac:dyDescent="0.25">
      <c r="A666" t="str">
        <f t="shared" si="195"/>
        <v>10</v>
      </c>
      <c r="B666" t="str">
        <f t="shared" si="196"/>
        <v>21</v>
      </c>
      <c r="C666" s="1">
        <v>45391</v>
      </c>
      <c r="D666" t="str">
        <f>CLEAN("5419-06-70")</f>
        <v>5419-06-70</v>
      </c>
      <c r="E666" t="str">
        <f>CLEAN("206  ")</f>
        <v xml:space="preserve">206  </v>
      </c>
      <c r="F666" t="str">
        <f>CLEAN("$2,000,000 - $2,999,999  ")</f>
        <v xml:space="preserve">$2,000,000 - $2,999,999  </v>
      </c>
      <c r="G666" t="str">
        <f>CLEAN("LET")</f>
        <v>LET</v>
      </c>
      <c r="H666" t="str">
        <f>CLEAN("LET CONSTRUCTION         ")</f>
        <v xml:space="preserve">LET CONSTRUCTION         </v>
      </c>
      <c r="I666" t="str">
        <f>CLEAN("CONST OPS/RECONSTRUCTION           ")</f>
        <v xml:space="preserve">CONST OPS/RECONSTRUCTION           </v>
      </c>
      <c r="J666" t="str">
        <f>CLEAN("CTH O  ")</f>
        <v xml:space="preserve">CTH O  </v>
      </c>
      <c r="K666" t="str">
        <f>CLEAN("RICHLAND                      ")</f>
        <v xml:space="preserve">RICHLAND                      </v>
      </c>
      <c r="L666" t="str">
        <f>CLEAN("STH 80 - RICHLAND CENTER           ")</f>
        <v xml:space="preserve">STH 80 - RICHLAND CENTER           </v>
      </c>
      <c r="M666" t="str">
        <f>CLEAN("CTH OO TO CARDINAL CREST ROAD      ")</f>
        <v xml:space="preserve">CTH OO TO CARDINAL CREST ROAD      </v>
      </c>
      <c r="N666">
        <v>2.8740000000000001</v>
      </c>
      <c r="O666" t="str">
        <f>CLEAN("5419-06-73")</f>
        <v>5419-06-73</v>
      </c>
      <c r="P66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67" spans="1:16" x14ac:dyDescent="0.25">
      <c r="A667" t="str">
        <f t="shared" si="195"/>
        <v>10</v>
      </c>
      <c r="B667" t="str">
        <f t="shared" si="196"/>
        <v>21</v>
      </c>
      <c r="C667" s="1">
        <v>45391</v>
      </c>
      <c r="D667" t="str">
        <f>CLEAN("5419-06-73")</f>
        <v>5419-06-73</v>
      </c>
      <c r="E667" t="str">
        <f>CLEAN("206  ")</f>
        <v xml:space="preserve">206  </v>
      </c>
      <c r="F667" t="str">
        <f>CLEAN("$4,000,000 - $4,999,999  ")</f>
        <v xml:space="preserve">$4,000,000 - $4,999,999  </v>
      </c>
      <c r="G667" t="str">
        <f>CLEAN("LET")</f>
        <v>LET</v>
      </c>
      <c r="H667" t="str">
        <f>CLEAN("LET CONSTRUCTION         ")</f>
        <v xml:space="preserve">LET CONSTRUCTION         </v>
      </c>
      <c r="I667" t="str">
        <f>CLEAN("CONST OPS/RECONSTRUCTION           ")</f>
        <v xml:space="preserve">CONST OPS/RECONSTRUCTION           </v>
      </c>
      <c r="J667" t="str">
        <f>CLEAN("CTH O  ")</f>
        <v xml:space="preserve">CTH O  </v>
      </c>
      <c r="K667" t="str">
        <f>CLEAN("RICHLAND                      ")</f>
        <v xml:space="preserve">RICHLAND                      </v>
      </c>
      <c r="L667" t="str">
        <f>CLEAN("STH 80 - RICHLAND CENTER (CTH O)   ")</f>
        <v xml:space="preserve">STH 80 - RICHLAND CENTER (CTH O)   </v>
      </c>
      <c r="M667" t="str">
        <f>CLEAN("CARDINAL CREST ROAD TO USH 14      ")</f>
        <v xml:space="preserve">CARDINAL CREST ROAD TO USH 14      </v>
      </c>
      <c r="N667">
        <v>0.84</v>
      </c>
      <c r="O667" t="str">
        <f>CLEAN("5419-06-70")</f>
        <v>5419-06-70</v>
      </c>
      <c r="P667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68" spans="1:16" x14ac:dyDescent="0.25">
      <c r="A668" t="str">
        <f t="shared" si="195"/>
        <v>10</v>
      </c>
      <c r="B668" t="str">
        <f t="shared" si="196"/>
        <v>21</v>
      </c>
      <c r="C668" s="1">
        <v>45517</v>
      </c>
      <c r="D668" t="str">
        <f>CLEAN("5432-00-72")</f>
        <v>5432-00-72</v>
      </c>
      <c r="E668" t="str">
        <f>CLEAN("205  ")</f>
        <v xml:space="preserve">205  </v>
      </c>
      <c r="F668" t="str">
        <f>CLEAN("$1,000,000 - $1,999,999  ")</f>
        <v xml:space="preserve">$1,000,000 - $1,999,999  </v>
      </c>
      <c r="G668" t="str">
        <f>CLEAN("LET")</f>
        <v>LET</v>
      </c>
      <c r="H668" t="str">
        <f>CLEAN("LET CONSTRUCTION         ")</f>
        <v xml:space="preserve">LET CONSTRUCTION         </v>
      </c>
      <c r="I668" t="str">
        <f>CLEAN("CONST OPS/BRIDGE RECONSTRUCTION    ")</f>
        <v xml:space="preserve">CONST OPS/BRIDGE RECONSTRUCTION    </v>
      </c>
      <c r="J668" t="str">
        <f>CLEAN("CTH A  ")</f>
        <v xml:space="preserve">CTH A  </v>
      </c>
      <c r="K668" t="str">
        <f>CLEAN("COLUMBIA                      ")</f>
        <v xml:space="preserve">COLUMBIA                      </v>
      </c>
      <c r="L668" t="str">
        <f>CLEAN("STH 146 - STH 73                   ")</f>
        <v xml:space="preserve">STH 146 - STH 73                   </v>
      </c>
      <c r="M668" t="str">
        <f>CLEAN("UPRR BRIDGE, B-11-0173             ")</f>
        <v xml:space="preserve">UPRR BRIDGE, B-11-0173             </v>
      </c>
      <c r="N668">
        <v>0.19900000000000001</v>
      </c>
      <c r="O668" t="str">
        <f t="shared" ref="O668:O689" si="209">CLEAN("          ")</f>
        <v xml:space="preserve">          </v>
      </c>
      <c r="P66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69" spans="1:16" x14ac:dyDescent="0.25">
      <c r="A669" t="str">
        <f t="shared" si="195"/>
        <v>10</v>
      </c>
      <c r="B669" t="str">
        <f t="shared" si="196"/>
        <v>21</v>
      </c>
      <c r="C669" s="1">
        <v>45316</v>
      </c>
      <c r="D669" t="str">
        <f>CLEAN("5545-00-20")</f>
        <v>5545-00-20</v>
      </c>
      <c r="E669" t="str">
        <f t="shared" ref="E669:E676" si="210">CLEAN("303  ")</f>
        <v xml:space="preserve">303  </v>
      </c>
      <c r="F669" t="str">
        <f>CLEAN("$0 - $99,999             ")</f>
        <v xml:space="preserve">$0 - $99,999             </v>
      </c>
      <c r="G669" t="str">
        <f>CLEAN("R/E")</f>
        <v>R/E</v>
      </c>
      <c r="H669" t="str">
        <f t="shared" ref="H669:H678" si="211">CLEAN("NONLET CONSTR/REAL ESTATE")</f>
        <v>NONLET CONSTR/REAL ESTATE</v>
      </c>
      <c r="I669" t="str">
        <f>CLEAN("RE OPS/5545-00-70/RSRF             ")</f>
        <v xml:space="preserve">RE OPS/5545-00-70/RSRF             </v>
      </c>
      <c r="J669" t="str">
        <f>CLEAN("STH 071")</f>
        <v>STH 071</v>
      </c>
      <c r="K669" t="str">
        <f>CLEAN("MONROE                        ")</f>
        <v xml:space="preserve">MONROE                        </v>
      </c>
      <c r="L669" t="str">
        <f>CLEAN("WILTON - ELROY                     ")</f>
        <v xml:space="preserve">WILTON - ELROY                     </v>
      </c>
      <c r="M669" t="str">
        <f>CLEAN("CTH V TO STH 80                    ")</f>
        <v xml:space="preserve">CTH V TO STH 80                    </v>
      </c>
      <c r="N669">
        <v>9.73</v>
      </c>
      <c r="O669" t="str">
        <f t="shared" si="209"/>
        <v xml:space="preserve">          </v>
      </c>
      <c r="P669" t="str">
        <f t="shared" ref="P669:P676" si="21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0" spans="1:16" x14ac:dyDescent="0.25">
      <c r="A670" t="str">
        <f t="shared" si="195"/>
        <v>10</v>
      </c>
      <c r="B670" t="str">
        <f t="shared" si="196"/>
        <v>21</v>
      </c>
      <c r="C670" s="1">
        <v>45316</v>
      </c>
      <c r="D670" t="str">
        <f>CLEAN("5570-01-20")</f>
        <v>5570-01-20</v>
      </c>
      <c r="E670" t="str">
        <f t="shared" si="210"/>
        <v xml:space="preserve">303  </v>
      </c>
      <c r="F670" t="str">
        <f>CLEAN("$0 - $99,999             ")</f>
        <v xml:space="preserve">$0 - $99,999             </v>
      </c>
      <c r="G670" t="str">
        <f>CLEAN("R/E")</f>
        <v>R/E</v>
      </c>
      <c r="H670" t="str">
        <f t="shared" si="211"/>
        <v>NONLET CONSTR/REAL ESTATE</v>
      </c>
      <c r="I670" t="str">
        <f>CLEAN("RE OPS FOR 5570-01-73              ")</f>
        <v xml:space="preserve">RE OPS FOR 5570-01-73              </v>
      </c>
      <c r="J670" t="str">
        <f t="shared" ref="J670:J676" si="213">CLEAN("STH 213")</f>
        <v>STH 213</v>
      </c>
      <c r="K670" t="str">
        <f t="shared" ref="K670:K676" si="214">CLEAN("ROCK                          ")</f>
        <v xml:space="preserve">ROCK                          </v>
      </c>
      <c r="L670" t="str">
        <f>CLEAN("C BELOIT, STATE STREET             ")</f>
        <v xml:space="preserve">C BELOIT, STATE STREET             </v>
      </c>
      <c r="M670" t="str">
        <f>CLEAN("IL STATE LINE TO USH 51            ")</f>
        <v xml:space="preserve">IL STATE LINE TO USH 51            </v>
      </c>
      <c r="N670">
        <v>0.18</v>
      </c>
      <c r="O670" t="str">
        <f t="shared" si="209"/>
        <v xml:space="preserve">          </v>
      </c>
      <c r="P670" t="str">
        <f t="shared" si="212"/>
        <v xml:space="preserve">STATE 3R                                                                                            </v>
      </c>
    </row>
    <row r="671" spans="1:16" x14ac:dyDescent="0.25">
      <c r="A671" t="str">
        <f t="shared" si="195"/>
        <v>10</v>
      </c>
      <c r="B671" t="str">
        <f t="shared" ref="B671:B702" si="215">CLEAN("21")</f>
        <v>21</v>
      </c>
      <c r="C671" s="1">
        <v>45590</v>
      </c>
      <c r="D671" t="str">
        <f>CLEAN("5570-01-53")</f>
        <v>5570-01-53</v>
      </c>
      <c r="E671" t="str">
        <f t="shared" si="210"/>
        <v xml:space="preserve">303  </v>
      </c>
      <c r="F671" t="str">
        <f>CLEAN("$100,000-$249,999        ")</f>
        <v xml:space="preserve">$100,000-$249,999        </v>
      </c>
      <c r="G671" t="str">
        <f>CLEAN("R/R")</f>
        <v>R/R</v>
      </c>
      <c r="H671" t="str">
        <f t="shared" si="211"/>
        <v>NONLET CONSTR/REAL ESTATE</v>
      </c>
      <c r="I671" t="str">
        <f>CLEAN("RR/CROSSING REPAIR/RESURFACE/MISC  ")</f>
        <v xml:space="preserve">RR/CROSSING REPAIR/RESURFACE/MISC  </v>
      </c>
      <c r="J671" t="str">
        <f t="shared" si="213"/>
        <v>STH 213</v>
      </c>
      <c r="K671" t="str">
        <f t="shared" si="214"/>
        <v xml:space="preserve">ROCK                          </v>
      </c>
      <c r="L671" t="str">
        <f>CLEAN("C BELOIT, STATE STREET             ")</f>
        <v xml:space="preserve">C BELOIT, STATE STREET             </v>
      </c>
      <c r="M671" t="str">
        <f>CLEAN("CANADIAN PACIFIC RR XING 388198J   ")</f>
        <v xml:space="preserve">CANADIAN PACIFIC RR XING 388198J   </v>
      </c>
      <c r="N671">
        <v>1.2999999999999999E-2</v>
      </c>
      <c r="O671" t="str">
        <f t="shared" si="209"/>
        <v xml:space="preserve">          </v>
      </c>
      <c r="P671" t="str">
        <f t="shared" si="212"/>
        <v xml:space="preserve">STATE 3R                                                                                            </v>
      </c>
    </row>
    <row r="672" spans="1:16" x14ac:dyDescent="0.25">
      <c r="A672" t="str">
        <f t="shared" si="195"/>
        <v>10</v>
      </c>
      <c r="B672" t="str">
        <f t="shared" si="215"/>
        <v>21</v>
      </c>
      <c r="C672" s="1">
        <v>45590</v>
      </c>
      <c r="D672" t="str">
        <f>CLEAN("5570-01-54")</f>
        <v>5570-01-54</v>
      </c>
      <c r="E672" t="str">
        <f t="shared" si="210"/>
        <v xml:space="preserve">303  </v>
      </c>
      <c r="F672" t="str">
        <f>CLEAN("$250,000 - $499,999      ")</f>
        <v xml:space="preserve">$250,000 - $499,999      </v>
      </c>
      <c r="G672" t="str">
        <f>CLEAN("R/R")</f>
        <v>R/R</v>
      </c>
      <c r="H672" t="str">
        <f t="shared" si="211"/>
        <v>NONLET CONSTR/REAL ESTATE</v>
      </c>
      <c r="I672" t="str">
        <f>CLEAN("RR/SIGNALS/ MISC                   ")</f>
        <v xml:space="preserve">RR/SIGNALS/ MISC                   </v>
      </c>
      <c r="J672" t="str">
        <f t="shared" si="213"/>
        <v>STH 213</v>
      </c>
      <c r="K672" t="str">
        <f t="shared" si="214"/>
        <v xml:space="preserve">ROCK                          </v>
      </c>
      <c r="L672" t="str">
        <f>CLEAN("C BELOIT, STATE STREET             ")</f>
        <v xml:space="preserve">C BELOIT, STATE STREET             </v>
      </c>
      <c r="M672" t="str">
        <f>CLEAN("CANADIAN PACIFIC RR XING 388198J   ")</f>
        <v xml:space="preserve">CANADIAN PACIFIC RR XING 388198J   </v>
      </c>
      <c r="N672">
        <v>0.01</v>
      </c>
      <c r="O672" t="str">
        <f t="shared" si="209"/>
        <v xml:space="preserve">          </v>
      </c>
      <c r="P672" t="str">
        <f t="shared" si="212"/>
        <v xml:space="preserve">STATE 3R                                                                                            </v>
      </c>
    </row>
    <row r="673" spans="1:16" x14ac:dyDescent="0.25">
      <c r="A673" t="str">
        <f t="shared" si="195"/>
        <v>10</v>
      </c>
      <c r="B673" t="str">
        <f t="shared" si="215"/>
        <v>21</v>
      </c>
      <c r="C673" s="1">
        <v>45590</v>
      </c>
      <c r="D673" t="str">
        <f>CLEAN("5570-01-55")</f>
        <v>5570-01-55</v>
      </c>
      <c r="E673" t="str">
        <f t="shared" si="210"/>
        <v xml:space="preserve">303  </v>
      </c>
      <c r="F673" t="str">
        <f>CLEAN("$250,000 - $499,999      ")</f>
        <v xml:space="preserve">$250,000 - $499,999      </v>
      </c>
      <c r="G673" t="str">
        <f>CLEAN("R/R")</f>
        <v>R/R</v>
      </c>
      <c r="H673" t="str">
        <f t="shared" si="211"/>
        <v>NONLET CONSTR/REAL ESTATE</v>
      </c>
      <c r="I673" t="str">
        <f>CLEAN("RR/SIGNALS/ MISC                   ")</f>
        <v xml:space="preserve">RR/SIGNALS/ MISC                   </v>
      </c>
      <c r="J673" t="str">
        <f t="shared" si="213"/>
        <v>STH 213</v>
      </c>
      <c r="K673" t="str">
        <f t="shared" si="214"/>
        <v xml:space="preserve">ROCK                          </v>
      </c>
      <c r="L673" t="str">
        <f>CLEAN("C BELOIT, SHIRLAND AVE             ")</f>
        <v xml:space="preserve">C BELOIT, SHIRLAND AVE             </v>
      </c>
      <c r="M673" t="str">
        <f>CLEAN("CANADIAN PACIFIC RR XING 388197C   ")</f>
        <v xml:space="preserve">CANADIAN PACIFIC RR XING 388197C   </v>
      </c>
      <c r="N673">
        <v>0</v>
      </c>
      <c r="O673" t="str">
        <f t="shared" si="209"/>
        <v xml:space="preserve">          </v>
      </c>
      <c r="P673" t="str">
        <f t="shared" si="212"/>
        <v xml:space="preserve">STATE 3R                                                                                            </v>
      </c>
    </row>
    <row r="674" spans="1:16" x14ac:dyDescent="0.25">
      <c r="A674" t="str">
        <f t="shared" si="195"/>
        <v>10</v>
      </c>
      <c r="B674" t="str">
        <f t="shared" si="215"/>
        <v>21</v>
      </c>
      <c r="C674" s="1">
        <v>45316</v>
      </c>
      <c r="D674" t="str">
        <f>CLEAN("5571-00-20")</f>
        <v>5571-00-20</v>
      </c>
      <c r="E674" t="str">
        <f t="shared" si="210"/>
        <v xml:space="preserve">303  </v>
      </c>
      <c r="F674" t="str">
        <f>CLEAN("$100,000-$249,999        ")</f>
        <v xml:space="preserve">$100,000-$249,999        </v>
      </c>
      <c r="G674" t="str">
        <f>CLEAN("R/E")</f>
        <v>R/E</v>
      </c>
      <c r="H674" t="str">
        <f t="shared" si="211"/>
        <v>NONLET CONSTR/REAL ESTATE</v>
      </c>
      <c r="I674" t="str">
        <f>CLEAN("RE OPS FOR 5571-00-72              ")</f>
        <v xml:space="preserve">RE OPS FOR 5571-00-72              </v>
      </c>
      <c r="J674" t="str">
        <f t="shared" si="213"/>
        <v>STH 213</v>
      </c>
      <c r="K674" t="str">
        <f t="shared" si="214"/>
        <v xml:space="preserve">ROCK                          </v>
      </c>
      <c r="L674" t="str">
        <f>CLEAN("BELOIT - EVANSVILLE                ")</f>
        <v xml:space="preserve">BELOIT - EVANSVILLE                </v>
      </c>
      <c r="M674" t="str">
        <f>CLEAN("BURTON STREET TO STH 11            ")</f>
        <v xml:space="preserve">BURTON STREET TO STH 11            </v>
      </c>
      <c r="N674">
        <v>12.606</v>
      </c>
      <c r="O674" t="str">
        <f t="shared" si="209"/>
        <v xml:space="preserve">          </v>
      </c>
      <c r="P674" t="str">
        <f t="shared" si="212"/>
        <v xml:space="preserve">STATE 3R                                                                                            </v>
      </c>
    </row>
    <row r="675" spans="1:16" x14ac:dyDescent="0.25">
      <c r="A675" t="str">
        <f t="shared" si="195"/>
        <v>10</v>
      </c>
      <c r="B675" t="str">
        <f t="shared" si="215"/>
        <v>21</v>
      </c>
      <c r="C675" s="1">
        <v>45621</v>
      </c>
      <c r="D675" t="str">
        <f>CLEAN("5571-00-52")</f>
        <v>5571-00-52</v>
      </c>
      <c r="E675" t="str">
        <f t="shared" si="210"/>
        <v xml:space="preserve">303  </v>
      </c>
      <c r="F675" t="str">
        <f>CLEAN("$250,000 - $499,999      ")</f>
        <v xml:space="preserve">$250,000 - $499,999      </v>
      </c>
      <c r="G675" t="str">
        <f>CLEAN("R/R")</f>
        <v>R/R</v>
      </c>
      <c r="H675" t="str">
        <f t="shared" si="211"/>
        <v>NONLET CONSTR/REAL ESTATE</v>
      </c>
      <c r="I675" t="str">
        <f>CLEAN("RR OPS/ CROSSING REPAIR/ RESURFACE ")</f>
        <v xml:space="preserve">RR OPS/ CROSSING REPAIR/ RESURFACE </v>
      </c>
      <c r="J675" t="str">
        <f t="shared" si="213"/>
        <v>STH 213</v>
      </c>
      <c r="K675" t="str">
        <f t="shared" si="214"/>
        <v xml:space="preserve">ROCK                          </v>
      </c>
      <c r="L675" t="str">
        <f>CLEAN("BELOIT - EVANSVILLE                ")</f>
        <v xml:space="preserve">BELOIT - EVANSVILLE                </v>
      </c>
      <c r="M675" t="str">
        <f>CLEAN("WSOR RR XING 392441D &amp; 392442K     ")</f>
        <v xml:space="preserve">WSOR RR XING 392441D &amp; 392442K     </v>
      </c>
      <c r="N675">
        <v>0</v>
      </c>
      <c r="O675" t="str">
        <f t="shared" si="209"/>
        <v xml:space="preserve">          </v>
      </c>
      <c r="P675" t="str">
        <f t="shared" si="212"/>
        <v xml:space="preserve">STATE 3R                                                                                            </v>
      </c>
    </row>
    <row r="676" spans="1:16" x14ac:dyDescent="0.25">
      <c r="A676" t="str">
        <f t="shared" si="195"/>
        <v>10</v>
      </c>
      <c r="B676" t="str">
        <f t="shared" si="215"/>
        <v>21</v>
      </c>
      <c r="C676" s="1">
        <v>45621</v>
      </c>
      <c r="D676" t="str">
        <f>CLEAN("5571-00-53")</f>
        <v>5571-00-53</v>
      </c>
      <c r="E676" t="str">
        <f t="shared" si="210"/>
        <v xml:space="preserve">303  </v>
      </c>
      <c r="F676" t="str">
        <f>CLEAN("$250,000 - $499,999      ")</f>
        <v xml:space="preserve">$250,000 - $499,999      </v>
      </c>
      <c r="G676" t="str">
        <f>CLEAN("R/R")</f>
        <v>R/R</v>
      </c>
      <c r="H676" t="str">
        <f t="shared" si="211"/>
        <v>NONLET CONSTR/REAL ESTATE</v>
      </c>
      <c r="I676" t="str">
        <f>CLEAN("RR OPS/ SIGNALS                    ")</f>
        <v xml:space="preserve">RR OPS/ SIGNALS                    </v>
      </c>
      <c r="J676" t="str">
        <f t="shared" si="213"/>
        <v>STH 213</v>
      </c>
      <c r="K676" t="str">
        <f t="shared" si="214"/>
        <v xml:space="preserve">ROCK                          </v>
      </c>
      <c r="L676" t="str">
        <f>CLEAN("BELOIT - EVANSVILLE                ")</f>
        <v xml:space="preserve">BELOIT - EVANSVILLE                </v>
      </c>
      <c r="M676" t="str">
        <f>CLEAN("WSOR RR XING 392441D &amp; 392442K     ")</f>
        <v xml:space="preserve">WSOR RR XING 392441D &amp; 392442K     </v>
      </c>
      <c r="N676">
        <v>0</v>
      </c>
      <c r="O676" t="str">
        <f t="shared" si="209"/>
        <v xml:space="preserve">          </v>
      </c>
      <c r="P676" t="str">
        <f t="shared" si="212"/>
        <v xml:space="preserve">STATE 3R                                                                                            </v>
      </c>
    </row>
    <row r="677" spans="1:16" x14ac:dyDescent="0.25">
      <c r="A677" t="str">
        <f t="shared" si="195"/>
        <v>10</v>
      </c>
      <c r="B677" t="str">
        <f t="shared" si="215"/>
        <v>21</v>
      </c>
      <c r="C677" s="1">
        <v>45498</v>
      </c>
      <c r="D677" t="str">
        <f>CLEAN("5590-05-73")</f>
        <v>5590-05-73</v>
      </c>
      <c r="E677" t="str">
        <f>CLEAN("206  ")</f>
        <v xml:space="preserve">206  </v>
      </c>
      <c r="F677" t="str">
        <f>CLEAN("$250,000 - $499,999      ")</f>
        <v xml:space="preserve">$250,000 - $499,999      </v>
      </c>
      <c r="G677" t="str">
        <f>CLEAN("LLC")</f>
        <v>LLC</v>
      </c>
      <c r="H677" t="str">
        <f t="shared" si="211"/>
        <v>NONLET CONSTR/REAL ESTATE</v>
      </c>
      <c r="I677" t="str">
        <f>CLEAN("CONST/CARBON RED-LED LIGHTING      ")</f>
        <v xml:space="preserve">CONST/CARBON RED-LED LIGHTING      </v>
      </c>
      <c r="J677" t="str">
        <f>CLEAN("STH 078")</f>
        <v>STH 078</v>
      </c>
      <c r="K677" t="str">
        <f>CLEAN("LAFAYETTE                     ")</f>
        <v xml:space="preserve">LAFAYETTE                     </v>
      </c>
      <c r="L677" t="str">
        <f>CLEAN("V BLANCHARDVILLE, STH 78           ")</f>
        <v xml:space="preserve">V BLANCHARDVILLE, STH 78           </v>
      </c>
      <c r="M677" t="str">
        <f>CLEAN("E. SCHOOL ST. TO MADISON ST.       ")</f>
        <v xml:space="preserve">E. SCHOOL ST. TO MADISON ST.       </v>
      </c>
      <c r="N677">
        <v>0</v>
      </c>
      <c r="O677" t="str">
        <f t="shared" si="209"/>
        <v xml:space="preserve">          </v>
      </c>
      <c r="P677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678" spans="1:16" x14ac:dyDescent="0.25">
      <c r="A678" t="str">
        <f t="shared" si="195"/>
        <v>10</v>
      </c>
      <c r="B678" t="str">
        <f t="shared" si="215"/>
        <v>21</v>
      </c>
      <c r="C678" s="1">
        <v>45437</v>
      </c>
      <c r="D678" t="str">
        <f>CLEAN("5620-00-20")</f>
        <v>5620-00-20</v>
      </c>
      <c r="E678" t="str">
        <f>CLEAN("303  ")</f>
        <v xml:space="preserve">303  </v>
      </c>
      <c r="F678" t="str">
        <f>CLEAN("$0 - $99,999             ")</f>
        <v xml:space="preserve">$0 - $99,999             </v>
      </c>
      <c r="G678" t="str">
        <f>CLEAN("R/E")</f>
        <v>R/E</v>
      </c>
      <c r="H678" t="str">
        <f t="shared" si="211"/>
        <v>NONLET CONSTR/REAL ESTATE</v>
      </c>
      <c r="I678" t="str">
        <f>CLEAN("R/E OPERATIONS/PVRPLA              ")</f>
        <v xml:space="preserve">R/E OPERATIONS/PVRPLA              </v>
      </c>
      <c r="J678" t="str">
        <f>CLEAN("STH 113")</f>
        <v>STH 113</v>
      </c>
      <c r="K678" t="str">
        <f>CLEAN("SAUK                          ")</f>
        <v xml:space="preserve">SAUK                          </v>
      </c>
      <c r="L678" t="str">
        <f>CLEAN("LODI - BARABOO                     ")</f>
        <v xml:space="preserve">LODI - BARABOO                     </v>
      </c>
      <c r="M678" t="str">
        <f>CLEAN("STH 78 TO MOUND STREET             ")</f>
        <v xml:space="preserve">STH 78 TO MOUND STREET             </v>
      </c>
      <c r="N678">
        <v>7.67</v>
      </c>
      <c r="O678" t="str">
        <f t="shared" si="209"/>
        <v xml:space="preserve">          </v>
      </c>
      <c r="P6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9" spans="1:16" x14ac:dyDescent="0.25">
      <c r="A679" t="str">
        <f t="shared" si="195"/>
        <v>10</v>
      </c>
      <c r="B679" t="str">
        <f t="shared" si="215"/>
        <v>21</v>
      </c>
      <c r="C679" s="1">
        <v>45636</v>
      </c>
      <c r="D679" t="str">
        <f>CLEAN("5625-00-75")</f>
        <v>5625-00-75</v>
      </c>
      <c r="E679" t="str">
        <f>CLEAN("205  ")</f>
        <v xml:space="preserve">205  </v>
      </c>
      <c r="F679" t="str">
        <f>CLEAN("$250,000 - $499,999      ")</f>
        <v xml:space="preserve">$250,000 - $499,999      </v>
      </c>
      <c r="G679" t="str">
        <f>CLEAN("LET")</f>
        <v>LET</v>
      </c>
      <c r="H679" t="str">
        <f>CLEAN("LET CONSTRUCTION         ")</f>
        <v xml:space="preserve">LET CONSTRUCTION         </v>
      </c>
      <c r="I679" t="str">
        <f>CLEAN("CONST OPS/BRIDGE REPLACEMENT       ")</f>
        <v xml:space="preserve">CONST OPS/BRIDGE REPLACEMENT       </v>
      </c>
      <c r="J679" t="str">
        <f>CLEAN("LOC STR")</f>
        <v>LOC STR</v>
      </c>
      <c r="K679" t="str">
        <f>CLEAN("LAFAYETTE                     ")</f>
        <v xml:space="preserve">LAFAYETTE                     </v>
      </c>
      <c r="L679" t="str">
        <f>CLEAN("TOWN OF BENTON, CARR FACTORY ROAD  ")</f>
        <v xml:space="preserve">TOWN OF BENTON, CARR FACTORY ROAD  </v>
      </c>
      <c r="M679" t="str">
        <f>CLEAN("BR GALENA RIVER BRIDGE B-33-0148   ")</f>
        <v xml:space="preserve">BR GALENA RIVER BRIDGE B-33-0148   </v>
      </c>
      <c r="N679">
        <v>1.0999999999999999E-2</v>
      </c>
      <c r="O679" t="str">
        <f t="shared" si="209"/>
        <v xml:space="preserve">          </v>
      </c>
      <c r="P67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80" spans="1:16" x14ac:dyDescent="0.25">
      <c r="A680" t="str">
        <f t="shared" si="195"/>
        <v>10</v>
      </c>
      <c r="B680" t="str">
        <f t="shared" si="215"/>
        <v>21</v>
      </c>
      <c r="C680" s="1">
        <v>45376</v>
      </c>
      <c r="D680" t="str">
        <f>CLEAN("5626-00-73")</f>
        <v>5626-00-73</v>
      </c>
      <c r="E680" t="str">
        <f>CLEAN("290  ")</f>
        <v xml:space="preserve">290  </v>
      </c>
      <c r="F680" t="str">
        <f>CLEAN("$750,000 - $999,999      ")</f>
        <v xml:space="preserve">$750,000 - $999,999      </v>
      </c>
      <c r="G680" t="str">
        <f>CLEAN("LLC")</f>
        <v>LLC</v>
      </c>
      <c r="H680" t="str">
        <f>CLEAN("NONLET CONSTR/REAL ESTATE")</f>
        <v>NONLET CONSTR/REAL ESTATE</v>
      </c>
      <c r="I680" t="str">
        <f>CLEAN("DESIGN - FULL PS&amp;E MULTI-USE PATH  ")</f>
        <v xml:space="preserve">DESIGN - FULL PS&amp;E MULTI-USE PATH  </v>
      </c>
      <c r="J680" t="str">
        <f>CLEAN("NON HWY")</f>
        <v>NON HWY</v>
      </c>
      <c r="K680" t="str">
        <f>CLEAN("IOWA                          ")</f>
        <v xml:space="preserve">IOWA                          </v>
      </c>
      <c r="L680" t="str">
        <f>CLEAN("CTH T - BIRCH LAKE MULTI-USE PATH  ")</f>
        <v xml:space="preserve">CTH T - BIRCH LAKE MULTI-USE PATH  </v>
      </c>
      <c r="M680" t="str">
        <f>CLEAN("WOODS STREET TO BIRCH LAKE PARK    ")</f>
        <v xml:space="preserve">WOODS STREET TO BIRCH LAKE PARK    </v>
      </c>
      <c r="N680">
        <v>2.12</v>
      </c>
      <c r="O680" t="str">
        <f t="shared" si="209"/>
        <v xml:space="preserve">          </v>
      </c>
      <c r="P680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681" spans="1:16" x14ac:dyDescent="0.25">
      <c r="A681" t="str">
        <f t="shared" si="195"/>
        <v>10</v>
      </c>
      <c r="B681" t="str">
        <f t="shared" si="215"/>
        <v>21</v>
      </c>
      <c r="C681" s="1">
        <v>45529</v>
      </c>
      <c r="D681" t="str">
        <f>CLEAN("5630-00-20")</f>
        <v>5630-00-20</v>
      </c>
      <c r="E681" t="str">
        <f>CLEAN("303  ")</f>
        <v xml:space="preserve">303  </v>
      </c>
      <c r="F681" t="str">
        <f>CLEAN("$0 - $99,999             ")</f>
        <v xml:space="preserve">$0 - $99,999             </v>
      </c>
      <c r="G681" t="str">
        <f>CLEAN("R/E")</f>
        <v>R/E</v>
      </c>
      <c r="H681" t="str">
        <f>CLEAN("NONLET CONSTR/REAL ESTATE")</f>
        <v>NONLET CONSTR/REAL ESTATE</v>
      </c>
      <c r="I681" t="str">
        <f>CLEAN("REAL ESTATE OPS/PAVEMENT REPLACE   ")</f>
        <v xml:space="preserve">REAL ESTATE OPS/PAVEMENT REPLACE   </v>
      </c>
      <c r="J681" t="str">
        <f>CLEAN("STH 060")</f>
        <v>STH 060</v>
      </c>
      <c r="K681" t="str">
        <f>CLEAN("SAUK                          ")</f>
        <v xml:space="preserve">SAUK                          </v>
      </c>
      <c r="L681" t="str">
        <f>CLEAN("SAUK CITY - ARLINGTON              ")</f>
        <v xml:space="preserve">SAUK CITY - ARLINGTON              </v>
      </c>
      <c r="M681" t="str">
        <f>CLEAN("USH 12 TO EAGLE VIEW COURT         ")</f>
        <v xml:space="preserve">USH 12 TO EAGLE VIEW COURT         </v>
      </c>
      <c r="N681">
        <v>2.4</v>
      </c>
      <c r="O681" t="str">
        <f t="shared" si="209"/>
        <v xml:space="preserve">          </v>
      </c>
      <c r="P68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2" spans="1:16" x14ac:dyDescent="0.25">
      <c r="A682" t="str">
        <f t="shared" si="195"/>
        <v>10</v>
      </c>
      <c r="B682" t="str">
        <f t="shared" si="215"/>
        <v>21</v>
      </c>
      <c r="C682" s="1">
        <v>45608</v>
      </c>
      <c r="D682" t="str">
        <f>CLEAN("5634-00-61")</f>
        <v>5634-00-61</v>
      </c>
      <c r="E682" t="str">
        <f>CLEAN("303  ")</f>
        <v xml:space="preserve">303  </v>
      </c>
      <c r="F682" t="str">
        <f>CLEAN("$250,000 - $499,999      ")</f>
        <v xml:space="preserve">$250,000 - $499,999      </v>
      </c>
      <c r="G682" t="str">
        <f>CLEAN("LET")</f>
        <v>LET</v>
      </c>
      <c r="H682" t="str">
        <f>CLEAN("LET CONSTRUCTION         ")</f>
        <v xml:space="preserve">LET CONSTRUCTION         </v>
      </c>
      <c r="I682" t="str">
        <f>CLEAN("CONST/HFST/PSRS10                  ")</f>
        <v xml:space="preserve">CONST/HFST/PSRS10                  </v>
      </c>
      <c r="J682" t="str">
        <f>CLEAN("STH 016")</f>
        <v>STH 016</v>
      </c>
      <c r="K682" t="str">
        <f>CLEAN("MONROE                        ")</f>
        <v xml:space="preserve">MONROE                        </v>
      </c>
      <c r="L682" t="str">
        <f>CLEAN("SWR,MONROE COUNTY CURVES HFST      ")</f>
        <v xml:space="preserve">SWR,MONROE COUNTY CURVES HFST      </v>
      </c>
      <c r="M682" t="str">
        <f>CLEAN("STH 16, STH 131                    ")</f>
        <v xml:space="preserve">STH 16, STH 131                    </v>
      </c>
      <c r="N682">
        <v>0.54700000000000004</v>
      </c>
      <c r="O682" t="str">
        <f t="shared" si="209"/>
        <v xml:space="preserve">          </v>
      </c>
      <c r="P68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83" spans="1:16" x14ac:dyDescent="0.25">
      <c r="A683" t="str">
        <f t="shared" si="195"/>
        <v>10</v>
      </c>
      <c r="B683" t="str">
        <f t="shared" si="215"/>
        <v>21</v>
      </c>
      <c r="C683" s="1">
        <v>45608</v>
      </c>
      <c r="D683" t="str">
        <f>CLEAN("5634-00-61")</f>
        <v>5634-00-61</v>
      </c>
      <c r="E683" t="str">
        <f>CLEAN("303  ")</f>
        <v xml:space="preserve">303  </v>
      </c>
      <c r="F683" t="str">
        <f>CLEAN("$250,000 - $499,999      ")</f>
        <v xml:space="preserve">$250,000 - $499,999      </v>
      </c>
      <c r="G683" t="str">
        <f>CLEAN("LET")</f>
        <v>LET</v>
      </c>
      <c r="H683" t="str">
        <f>CLEAN("LET CONSTRUCTION         ")</f>
        <v xml:space="preserve">LET CONSTRUCTION         </v>
      </c>
      <c r="I683" t="str">
        <f>CLEAN("CONST/HFST/PSRS10                  ")</f>
        <v xml:space="preserve">CONST/HFST/PSRS10                  </v>
      </c>
      <c r="J683" t="str">
        <f>CLEAN("STH 016")</f>
        <v>STH 016</v>
      </c>
      <c r="K683" t="str">
        <f>CLEAN("MONROE                        ")</f>
        <v xml:space="preserve">MONROE                        </v>
      </c>
      <c r="L683" t="str">
        <f>CLEAN("SWR,MONROE COUNTY CURVES HFST      ")</f>
        <v xml:space="preserve">SWR,MONROE COUNTY CURVES HFST      </v>
      </c>
      <c r="M683" t="str">
        <f>CLEAN("STH 16, STH 131                    ")</f>
        <v xml:space="preserve">STH 16, STH 131                    </v>
      </c>
      <c r="N683">
        <v>0.54700000000000004</v>
      </c>
      <c r="O683" t="str">
        <f t="shared" si="209"/>
        <v xml:space="preserve">          </v>
      </c>
      <c r="P68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4" spans="1:16" x14ac:dyDescent="0.25">
      <c r="A684" t="str">
        <f t="shared" si="195"/>
        <v>10</v>
      </c>
      <c r="B684" t="str">
        <f t="shared" si="215"/>
        <v>21</v>
      </c>
      <c r="C684" s="1">
        <v>45426</v>
      </c>
      <c r="D684" t="str">
        <f>CLEAN("5637-02-71")</f>
        <v>5637-02-71</v>
      </c>
      <c r="E684" t="str">
        <f>CLEAN("303  ")</f>
        <v xml:space="preserve">303  </v>
      </c>
      <c r="F684" t="str">
        <f>CLEAN("$2,000,000 - $2,999,999  ")</f>
        <v xml:space="preserve">$2,000,000 - $2,999,999  </v>
      </c>
      <c r="G684" t="str">
        <f>CLEAN("LET")</f>
        <v>LET</v>
      </c>
      <c r="H684" t="str">
        <f>CLEAN("LET CONSTRUCTION         ")</f>
        <v xml:space="preserve">LET CONSTRUCTION         </v>
      </c>
      <c r="I684" t="str">
        <f>CLEAN("CONST/ CURB RAMP PROGRAM           ")</f>
        <v xml:space="preserve">CONST/ CURB RAMP PROGRAM           </v>
      </c>
      <c r="J684" t="str">
        <f>CLEAN("STH 023")</f>
        <v>STH 023</v>
      </c>
      <c r="K684" t="str">
        <f>CLEAN("SAUK                          ")</f>
        <v xml:space="preserve">SAUK                          </v>
      </c>
      <c r="L684" t="str">
        <f>CLEAN("SOUTHWEST REGION, ADA CURB RAMPS   ")</f>
        <v xml:space="preserve">SOUTHWEST REGION, ADA CURB RAMPS   </v>
      </c>
      <c r="M684" t="str">
        <f>CLEAN("SAUK COUNTY VARIOUS LOCATIONS      ")</f>
        <v xml:space="preserve">SAUK COUNTY VARIOUS LOCATIONS      </v>
      </c>
      <c r="N684">
        <v>3.6949999999999998</v>
      </c>
      <c r="O684" t="str">
        <f t="shared" si="209"/>
        <v xml:space="preserve">          </v>
      </c>
      <c r="P684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685" spans="1:16" x14ac:dyDescent="0.25">
      <c r="A685" t="str">
        <f t="shared" si="195"/>
        <v>10</v>
      </c>
      <c r="B685" t="str">
        <f t="shared" si="215"/>
        <v>21</v>
      </c>
      <c r="C685" s="1">
        <v>45407</v>
      </c>
      <c r="D685" t="str">
        <f>CLEAN("5640-04-22")</f>
        <v>5640-04-22</v>
      </c>
      <c r="E685" t="str">
        <f>CLEAN("303  ")</f>
        <v xml:space="preserve">303  </v>
      </c>
      <c r="F685" t="str">
        <f>CLEAN("$500,000 - $749,999      ")</f>
        <v xml:space="preserve">$500,000 - $749,999      </v>
      </c>
      <c r="G685" t="str">
        <f>CLEAN("R/E")</f>
        <v>R/E</v>
      </c>
      <c r="H685" t="str">
        <f>CLEAN("NONLET CONSTR/REAL ESTATE")</f>
        <v>NONLET CONSTR/REAL ESTATE</v>
      </c>
      <c r="I685" t="str">
        <f>CLEAN("REAL ESTATE                        ")</f>
        <v xml:space="preserve">REAL ESTATE                        </v>
      </c>
      <c r="J685" t="str">
        <f>CLEAN("STH 113")</f>
        <v>STH 113</v>
      </c>
      <c r="K685" t="str">
        <f>CLEAN("COLUMBIA                      ")</f>
        <v xml:space="preserve">COLUMBIA                      </v>
      </c>
      <c r="L685" t="str">
        <f>CLEAN("LODI - BARABOO                     ")</f>
        <v xml:space="preserve">LODI - BARABOO                     </v>
      </c>
      <c r="M685" t="str">
        <f>CLEAN("CTH J TO STH 188                   ")</f>
        <v xml:space="preserve">CTH J TO STH 188                   </v>
      </c>
      <c r="N685">
        <v>4.8600000000000003</v>
      </c>
      <c r="O685" t="str">
        <f t="shared" si="209"/>
        <v xml:space="preserve">          </v>
      </c>
      <c r="P68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6" spans="1:16" x14ac:dyDescent="0.25">
      <c r="A686" t="str">
        <f t="shared" si="195"/>
        <v>10</v>
      </c>
      <c r="B686" t="str">
        <f t="shared" si="215"/>
        <v>21</v>
      </c>
      <c r="C686" s="1">
        <v>45636</v>
      </c>
      <c r="D686" t="str">
        <f>CLEAN("5646-00-77")</f>
        <v>5646-00-77</v>
      </c>
      <c r="E686" t="str">
        <f>CLEAN("205  ")</f>
        <v xml:space="preserve">205  </v>
      </c>
      <c r="F686" t="str">
        <f>CLEAN("$250,000 - $499,999      ")</f>
        <v xml:space="preserve">$250,000 - $499,999      </v>
      </c>
      <c r="G686" t="str">
        <f>CLEAN("LET")</f>
        <v>LET</v>
      </c>
      <c r="H686" t="str">
        <f>CLEAN("LET CONSTRUCTION         ")</f>
        <v xml:space="preserve">LET CONSTRUCTION         </v>
      </c>
      <c r="I686" t="str">
        <f>CLEAN("CONST OPS/BRIDGE REPLACEMENT       ")</f>
        <v xml:space="preserve">CONST OPS/BRIDGE REPLACEMENT       </v>
      </c>
      <c r="J686" t="str">
        <f>CLEAN("CTH M  ")</f>
        <v xml:space="preserve">CTH M  </v>
      </c>
      <c r="K686" t="str">
        <f>CLEAN("GREEN                         ")</f>
        <v xml:space="preserve">GREEN                         </v>
      </c>
      <c r="L686" t="str">
        <f>CLEAN("STH 81 - CTH C (CTH M)             ")</f>
        <v xml:space="preserve">STH 81 - CTH C (CTH M)             </v>
      </c>
      <c r="M686" t="str">
        <f>CLEAN("BRAEZELS BRANCH BRIDGE B-23-0183   ")</f>
        <v xml:space="preserve">BRAEZELS BRANCH BRIDGE B-23-0183   </v>
      </c>
      <c r="N686">
        <v>2.3E-2</v>
      </c>
      <c r="O686" t="str">
        <f t="shared" si="209"/>
        <v xml:space="preserve">          </v>
      </c>
      <c r="P68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87" spans="1:16" x14ac:dyDescent="0.25">
      <c r="A687" t="str">
        <f t="shared" si="195"/>
        <v>10</v>
      </c>
      <c r="B687" t="str">
        <f t="shared" si="215"/>
        <v>21</v>
      </c>
      <c r="C687" s="1">
        <v>45316</v>
      </c>
      <c r="D687" t="str">
        <f>CLEAN("5650-01-51")</f>
        <v>5650-01-51</v>
      </c>
      <c r="E687" t="str">
        <f>CLEAN("303  ")</f>
        <v xml:space="preserve">303  </v>
      </c>
      <c r="F687" t="str">
        <f>CLEAN("$0 - $99,999             ")</f>
        <v xml:space="preserve">$0 - $99,999             </v>
      </c>
      <c r="G687" t="str">
        <f>CLEAN("R/R")</f>
        <v>R/R</v>
      </c>
      <c r="H687" t="str">
        <f>CLEAN("NONLET CONSTR/REAL ESTATE")</f>
        <v>NONLET CONSTR/REAL ESTATE</v>
      </c>
      <c r="I687" t="str">
        <f>CLEAN("RR OPS/WARNING DEVICE UPDATE/MISC  ")</f>
        <v xml:space="preserve">RR OPS/WARNING DEVICE UPDATE/MISC  </v>
      </c>
      <c r="J687" t="str">
        <f>CLEAN("STH 059")</f>
        <v>STH 059</v>
      </c>
      <c r="K687" t="str">
        <f>CLEAN("ROCK                          ")</f>
        <v xml:space="preserve">ROCK                          </v>
      </c>
      <c r="L687" t="str">
        <f>CLEAN("EVANSVILLE - EDGERTON              ")</f>
        <v xml:space="preserve">EVANSVILLE - EDGERTON              </v>
      </c>
      <c r="M687" t="str">
        <f>CLEAN("WISC &amp; SOUTHERN XING 391661V       ")</f>
        <v xml:space="preserve">WISC &amp; SOUTHERN XING 391661V       </v>
      </c>
      <c r="N687">
        <v>0.01</v>
      </c>
      <c r="O687" t="str">
        <f t="shared" si="209"/>
        <v xml:space="preserve">          </v>
      </c>
      <c r="P687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688" spans="1:16" x14ac:dyDescent="0.25">
      <c r="A688" t="str">
        <f t="shared" si="195"/>
        <v>10</v>
      </c>
      <c r="B688" t="str">
        <f t="shared" si="215"/>
        <v>21</v>
      </c>
      <c r="C688" s="1">
        <v>45363</v>
      </c>
      <c r="D688" t="str">
        <f>CLEAN("5670-00-65")</f>
        <v>5670-00-65</v>
      </c>
      <c r="E688" t="str">
        <f>CLEAN("303  ")</f>
        <v xml:space="preserve">303  </v>
      </c>
      <c r="F688" t="str">
        <f>CLEAN("$2,000,000 - $2,999,999  ")</f>
        <v xml:space="preserve">$2,000,000 - $2,999,999  </v>
      </c>
      <c r="G688" t="str">
        <f t="shared" ref="G688:G696" si="216">CLEAN("LET")</f>
        <v>LET</v>
      </c>
      <c r="H688" t="str">
        <f t="shared" ref="H688:H696" si="217">CLEAN("LET CONSTRUCTION         ")</f>
        <v xml:space="preserve">LET CONSTRUCTION         </v>
      </c>
      <c r="I688" t="str">
        <f>CLEAN("CONST/ MILL AND OVERLAY            ")</f>
        <v xml:space="preserve">CONST/ MILL AND OVERLAY            </v>
      </c>
      <c r="J688" t="str">
        <f>CLEAN("STH 059")</f>
        <v>STH 059</v>
      </c>
      <c r="K688" t="str">
        <f>CLEAN("ROCK                          ")</f>
        <v xml:space="preserve">ROCK                          </v>
      </c>
      <c r="L688" t="str">
        <f>CLEAN("MONROE - EVANSVILLE                ")</f>
        <v xml:space="preserve">MONROE - EVANSVILLE                </v>
      </c>
      <c r="M688" t="str">
        <f>CLEAN("STH 104 TO STH 213                 ")</f>
        <v xml:space="preserve">STH 104 TO STH 213                 </v>
      </c>
      <c r="N688">
        <v>3.58</v>
      </c>
      <c r="O688" t="str">
        <f t="shared" si="209"/>
        <v xml:space="preserve">          </v>
      </c>
      <c r="P68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89" spans="1:16" x14ac:dyDescent="0.25">
      <c r="A689" t="str">
        <f t="shared" si="195"/>
        <v>10</v>
      </c>
      <c r="B689" t="str">
        <f t="shared" si="215"/>
        <v>21</v>
      </c>
      <c r="C689" s="1">
        <v>45363</v>
      </c>
      <c r="D689" t="str">
        <f>CLEAN("5670-00-65")</f>
        <v>5670-00-65</v>
      </c>
      <c r="E689" t="str">
        <f>CLEAN("303  ")</f>
        <v xml:space="preserve">303  </v>
      </c>
      <c r="F689" t="str">
        <f>CLEAN("$2,000,000 - $2,999,999  ")</f>
        <v xml:space="preserve">$2,000,000 - $2,999,999  </v>
      </c>
      <c r="G689" t="str">
        <f t="shared" si="216"/>
        <v>LET</v>
      </c>
      <c r="H689" t="str">
        <f t="shared" si="217"/>
        <v xml:space="preserve">LET CONSTRUCTION         </v>
      </c>
      <c r="I689" t="str">
        <f>CLEAN("CONST/ MILL AND OVERLAY            ")</f>
        <v xml:space="preserve">CONST/ MILL AND OVERLAY            </v>
      </c>
      <c r="J689" t="str">
        <f>CLEAN("STH 059")</f>
        <v>STH 059</v>
      </c>
      <c r="K689" t="str">
        <f>CLEAN("ROCK                          ")</f>
        <v xml:space="preserve">ROCK                          </v>
      </c>
      <c r="L689" t="str">
        <f>CLEAN("MONROE - EVANSVILLE                ")</f>
        <v xml:space="preserve">MONROE - EVANSVILLE                </v>
      </c>
      <c r="M689" t="str">
        <f>CLEAN("STH 104 TO STH 213                 ")</f>
        <v xml:space="preserve">STH 104 TO STH 213                 </v>
      </c>
      <c r="N689">
        <v>3.58</v>
      </c>
      <c r="O689" t="str">
        <f t="shared" si="209"/>
        <v xml:space="preserve">          </v>
      </c>
      <c r="P68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90" spans="1:16" x14ac:dyDescent="0.25">
      <c r="A690" t="str">
        <f t="shared" si="195"/>
        <v>10</v>
      </c>
      <c r="B690" t="str">
        <f t="shared" si="215"/>
        <v>21</v>
      </c>
      <c r="C690" s="1">
        <v>45272</v>
      </c>
      <c r="D690" t="str">
        <f>CLEAN("5685-00-05")</f>
        <v>5685-00-05</v>
      </c>
      <c r="E690" t="str">
        <f>CLEAN("206  ")</f>
        <v xml:space="preserve">206  </v>
      </c>
      <c r="F690" t="str">
        <f>CLEAN("$3,000,000 - $3,999,999  ")</f>
        <v xml:space="preserve">$3,000,000 - $3,999,999  </v>
      </c>
      <c r="G690" t="str">
        <f t="shared" si="216"/>
        <v>LET</v>
      </c>
      <c r="H690" t="str">
        <f t="shared" si="217"/>
        <v xml:space="preserve">LET CONSTRUCTION         </v>
      </c>
      <c r="I690" t="str">
        <f>CLEAN("CONST OPS/RECONSTRUCTION           ")</f>
        <v xml:space="preserve">CONST OPS/RECONSTRUCTION           </v>
      </c>
      <c r="J690" t="str">
        <f>CLEAN("LOC STR")</f>
        <v>LOC STR</v>
      </c>
      <c r="K690" t="str">
        <f>CLEAN("DANE                          ")</f>
        <v xml:space="preserve">DANE                          </v>
      </c>
      <c r="L690" t="str">
        <f>CLEAN("V OF MCFARLAND, EXCHANGE STREET    ")</f>
        <v xml:space="preserve">V OF MCFARLAND, EXCHANGE STREET    </v>
      </c>
      <c r="M690" t="str">
        <f>CLEAN("FARWELL ST TO SLEEPY HOLLOW ROAD   ")</f>
        <v xml:space="preserve">FARWELL ST TO SLEEPY HOLLOW ROAD   </v>
      </c>
      <c r="N690">
        <v>0.82299999999999995</v>
      </c>
      <c r="O690" t="str">
        <f>CLEAN("5685-00-06")</f>
        <v>5685-00-06</v>
      </c>
      <c r="P69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91" spans="1:16" x14ac:dyDescent="0.25">
      <c r="A691" t="str">
        <f t="shared" si="195"/>
        <v>10</v>
      </c>
      <c r="B691" t="str">
        <f t="shared" si="215"/>
        <v>21</v>
      </c>
      <c r="C691" s="1">
        <v>45272</v>
      </c>
      <c r="D691" t="str">
        <f>CLEAN("5685-00-06")</f>
        <v>5685-00-06</v>
      </c>
      <c r="E691" t="str">
        <f>CLEAN("206  ")</f>
        <v xml:space="preserve">206  </v>
      </c>
      <c r="F691" t="str">
        <f>CLEAN("$750,000 - $999,999      ")</f>
        <v xml:space="preserve">$750,000 - $999,999      </v>
      </c>
      <c r="G691" t="str">
        <f t="shared" si="216"/>
        <v>LET</v>
      </c>
      <c r="H691" t="str">
        <f t="shared" si="217"/>
        <v xml:space="preserve">LET CONSTRUCTION         </v>
      </c>
      <c r="I691" t="str">
        <f>CLEAN("CONST OPS/UTILITIES                ")</f>
        <v xml:space="preserve">CONST OPS/UTILITIES                </v>
      </c>
      <c r="J691" t="str">
        <f>CLEAN("LOC STR")</f>
        <v>LOC STR</v>
      </c>
      <c r="K691" t="str">
        <f>CLEAN("DANE                          ")</f>
        <v xml:space="preserve">DANE                          </v>
      </c>
      <c r="L691" t="str">
        <f>CLEAN("V OF MCFARLAND, EXCHANGE STREET    ")</f>
        <v xml:space="preserve">V OF MCFARLAND, EXCHANGE STREET    </v>
      </c>
      <c r="M691" t="str">
        <f>CLEAN("FARWELL ST TO SLEEPY HOLLOW ROAD   ")</f>
        <v xml:space="preserve">FARWELL ST TO SLEEPY HOLLOW ROAD   </v>
      </c>
      <c r="N691">
        <v>0.82299999999999995</v>
      </c>
      <c r="O691" t="str">
        <f>CLEAN("5685-00-05")</f>
        <v>5685-00-05</v>
      </c>
      <c r="P69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92" spans="1:16" x14ac:dyDescent="0.25">
      <c r="A692" t="str">
        <f t="shared" si="195"/>
        <v>10</v>
      </c>
      <c r="B692" t="str">
        <f t="shared" si="215"/>
        <v>21</v>
      </c>
      <c r="C692" s="1">
        <v>45636</v>
      </c>
      <c r="D692" t="str">
        <f>CLEAN("5695-00-74")</f>
        <v>5695-00-74</v>
      </c>
      <c r="E692" t="str">
        <f>CLEAN("205  ")</f>
        <v xml:space="preserve">205  </v>
      </c>
      <c r="F692" t="str">
        <f>CLEAN("$500,000 - $749,999      ")</f>
        <v xml:space="preserve">$500,000 - $749,999      </v>
      </c>
      <c r="G692" t="str">
        <f t="shared" si="216"/>
        <v>LET</v>
      </c>
      <c r="H692" t="str">
        <f t="shared" si="217"/>
        <v xml:space="preserve">LET CONSTRUCTION         </v>
      </c>
      <c r="I692" t="str">
        <f>CLEAN("CONST OPS/BRIDGE REPLACEMENT       ")</f>
        <v xml:space="preserve">CONST OPS/BRIDGE REPLACEMENT       </v>
      </c>
      <c r="J692" t="str">
        <f>CLEAN("CTH I  ")</f>
        <v xml:space="preserve">CTH I  </v>
      </c>
      <c r="K692" t="str">
        <f>CLEAN("LAFAYETTE                     ")</f>
        <v xml:space="preserve">LAFAYETTE                     </v>
      </c>
      <c r="L692" t="str">
        <f>CLEAN("CTH W - STH 11 (CTH I)             ")</f>
        <v xml:space="preserve">CTH W - STH 11 (CTH I)             </v>
      </c>
      <c r="M692" t="str">
        <f>CLEAN("ELLIS BRANCH BRIDGE B-33-0147      ")</f>
        <v xml:space="preserve">ELLIS BRANCH BRIDGE B-33-0147      </v>
      </c>
      <c r="N692">
        <v>1.9E-2</v>
      </c>
      <c r="O692" t="str">
        <f t="shared" ref="O692:O720" si="218">CLEAN("          ")</f>
        <v xml:space="preserve">          </v>
      </c>
      <c r="P6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93" spans="1:16" x14ac:dyDescent="0.25">
      <c r="A693" t="str">
        <f t="shared" si="195"/>
        <v>10</v>
      </c>
      <c r="B693" t="str">
        <f t="shared" si="215"/>
        <v>21</v>
      </c>
      <c r="C693" s="1">
        <v>45608</v>
      </c>
      <c r="D693" t="str">
        <f>CLEAN("5700-00-75")</f>
        <v>5700-00-75</v>
      </c>
      <c r="E693" t="str">
        <f>CLEAN("206  ")</f>
        <v xml:space="preserve">206  </v>
      </c>
      <c r="F693" t="str">
        <f>CLEAN("$250,000 - $499,999      ")</f>
        <v xml:space="preserve">$250,000 - $499,999      </v>
      </c>
      <c r="G693" t="str">
        <f t="shared" si="216"/>
        <v>LET</v>
      </c>
      <c r="H693" t="str">
        <f t="shared" si="217"/>
        <v xml:space="preserve">LET CONSTRUCTION         </v>
      </c>
      <c r="I693" t="str">
        <f>CLEAN("CONST OPS/PAVEMENT REPLACEMENT     ")</f>
        <v xml:space="preserve">CONST OPS/PAVEMENT REPLACEMENT     </v>
      </c>
      <c r="J693" t="str">
        <f>CLEAN("LOC STR")</f>
        <v>LOC STR</v>
      </c>
      <c r="K693" t="str">
        <f>CLEAN("GRANT                         ")</f>
        <v xml:space="preserve">GRANT                         </v>
      </c>
      <c r="L693" t="str">
        <f>CLEAN("C LANCASTER, EAST LINCOLN AVENUE   ")</f>
        <v xml:space="preserve">C LANCASTER, EAST LINCOLN AVENUE   </v>
      </c>
      <c r="M693" t="str">
        <f>CLEAN("MADISON ST TO EATON ST             ")</f>
        <v xml:space="preserve">MADISON ST TO EATON ST             </v>
      </c>
      <c r="N693">
        <v>0.25</v>
      </c>
      <c r="O693" t="str">
        <f t="shared" si="218"/>
        <v xml:space="preserve">          </v>
      </c>
      <c r="P69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94" spans="1:16" x14ac:dyDescent="0.25">
      <c r="A694" t="str">
        <f t="shared" si="195"/>
        <v>10</v>
      </c>
      <c r="B694" t="str">
        <f t="shared" si="215"/>
        <v>21</v>
      </c>
      <c r="C694" s="1">
        <v>45636</v>
      </c>
      <c r="D694" t="str">
        <f>CLEAN("5710-00-71")</f>
        <v>5710-00-71</v>
      </c>
      <c r="E694" t="str">
        <f>CLEAN("303  ")</f>
        <v xml:space="preserve">303  </v>
      </c>
      <c r="F694" t="str">
        <f>CLEAN("$7,000,000 - $7,999,999  ")</f>
        <v xml:space="preserve">$7,000,000 - $7,999,999  </v>
      </c>
      <c r="G694" t="str">
        <f t="shared" si="216"/>
        <v>LET</v>
      </c>
      <c r="H694" t="str">
        <f t="shared" si="217"/>
        <v xml:space="preserve">LET CONSTRUCTION         </v>
      </c>
      <c r="I694" t="str">
        <f>CLEAN("CONS/MILL &amp; O'LAY/B62-20,-24/PVRPLA")</f>
        <v>CONS/MILL &amp; O'LAY/B62-20,-24/PVRPLA</v>
      </c>
      <c r="J694" t="str">
        <f>CLEAN("STH 082")</f>
        <v>STH 082</v>
      </c>
      <c r="K694" t="str">
        <f>CLEAN("VERNON                        ")</f>
        <v xml:space="preserve">VERNON                        </v>
      </c>
      <c r="L694" t="str">
        <f>CLEAN("VIROQUA - LAFARGE                  ")</f>
        <v xml:space="preserve">VIROQUA - LAFARGE                  </v>
      </c>
      <c r="M694" t="str">
        <f>CLEAN("STH 56 TO KICKAPOO RIVER           ")</f>
        <v xml:space="preserve">STH 56 TO KICKAPOO RIVER           </v>
      </c>
      <c r="N694">
        <v>10.94</v>
      </c>
      <c r="O694" t="str">
        <f t="shared" si="218"/>
        <v xml:space="preserve">          </v>
      </c>
      <c r="P69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95" spans="1:16" x14ac:dyDescent="0.25">
      <c r="A695" t="str">
        <f t="shared" si="195"/>
        <v>10</v>
      </c>
      <c r="B695" t="str">
        <f t="shared" si="215"/>
        <v>21</v>
      </c>
      <c r="C695" s="1">
        <v>45636</v>
      </c>
      <c r="D695" t="str">
        <f>CLEAN("5710-00-71")</f>
        <v>5710-00-71</v>
      </c>
      <c r="E695" t="str">
        <f>CLEAN("303  ")</f>
        <v xml:space="preserve">303  </v>
      </c>
      <c r="F695" t="str">
        <f>CLEAN("$7,000,000 - $7,999,999  ")</f>
        <v xml:space="preserve">$7,000,000 - $7,999,999  </v>
      </c>
      <c r="G695" t="str">
        <f t="shared" si="216"/>
        <v>LET</v>
      </c>
      <c r="H695" t="str">
        <f t="shared" si="217"/>
        <v xml:space="preserve">LET CONSTRUCTION         </v>
      </c>
      <c r="I695" t="str">
        <f>CLEAN("CONS/MILL &amp; O'LAY/B62-20,-24/PVRPLA")</f>
        <v>CONS/MILL &amp; O'LAY/B62-20,-24/PVRPLA</v>
      </c>
      <c r="J695" t="str">
        <f>CLEAN("STH 082")</f>
        <v>STH 082</v>
      </c>
      <c r="K695" t="str">
        <f>CLEAN("VERNON                        ")</f>
        <v xml:space="preserve">VERNON                        </v>
      </c>
      <c r="L695" t="str">
        <f>CLEAN("VIROQUA - LAFARGE                  ")</f>
        <v xml:space="preserve">VIROQUA - LAFARGE                  </v>
      </c>
      <c r="M695" t="str">
        <f>CLEAN("STH 56 TO KICKAPOO RIVER           ")</f>
        <v xml:space="preserve">STH 56 TO KICKAPOO RIVER           </v>
      </c>
      <c r="N695">
        <v>10.94</v>
      </c>
      <c r="O695" t="str">
        <f t="shared" si="218"/>
        <v xml:space="preserve">          </v>
      </c>
      <c r="P6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96" spans="1:16" x14ac:dyDescent="0.25">
      <c r="A696" t="str">
        <f t="shared" ref="A696:A759" si="219">CLEAN("10")</f>
        <v>10</v>
      </c>
      <c r="B696" t="str">
        <f t="shared" si="215"/>
        <v>21</v>
      </c>
      <c r="C696" s="1">
        <v>45545</v>
      </c>
      <c r="D696" t="str">
        <f>CLEAN("5725-00-70")</f>
        <v>5725-00-70</v>
      </c>
      <c r="E696" t="str">
        <f>CLEAN("206  ")</f>
        <v xml:space="preserve">206  </v>
      </c>
      <c r="F696" t="str">
        <f>CLEAN("$2,000,000 - $2,999,999  ")</f>
        <v xml:space="preserve">$2,000,000 - $2,999,999  </v>
      </c>
      <c r="G696" t="str">
        <f t="shared" si="216"/>
        <v>LET</v>
      </c>
      <c r="H696" t="str">
        <f t="shared" si="217"/>
        <v xml:space="preserve">LET CONSTRUCTION         </v>
      </c>
      <c r="I696" t="str">
        <f>CLEAN("CONST OPS/RECONSTRUCTION           ")</f>
        <v xml:space="preserve">CONST OPS/RECONSTRUCTION           </v>
      </c>
      <c r="J696" t="str">
        <f>CLEAN("CTH D  ")</f>
        <v xml:space="preserve">CTH D  </v>
      </c>
      <c r="K696" t="str">
        <f>CLEAN("LAFAYETTE                     ")</f>
        <v xml:space="preserve">LAFAYETTE                     </v>
      </c>
      <c r="L696" t="str">
        <f>CLEAN("IL STATE LINE - STH 11 (CTH D)     ")</f>
        <v xml:space="preserve">IL STATE LINE - STH 11 (CTH D)     </v>
      </c>
      <c r="M696" t="str">
        <f>CLEAN("IL STATE LINE TO STH 11            ")</f>
        <v xml:space="preserve">IL STATE LINE TO STH 11            </v>
      </c>
      <c r="N696">
        <v>6.15</v>
      </c>
      <c r="O696" t="str">
        <f t="shared" si="218"/>
        <v xml:space="preserve">          </v>
      </c>
      <c r="P69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97" spans="1:16" x14ac:dyDescent="0.25">
      <c r="A697" t="str">
        <f t="shared" si="219"/>
        <v>10</v>
      </c>
      <c r="B697" t="str">
        <f t="shared" si="215"/>
        <v>21</v>
      </c>
      <c r="C697" s="1">
        <v>45316</v>
      </c>
      <c r="D697" t="str">
        <f>CLEAN("5726-00-21")</f>
        <v>5726-00-21</v>
      </c>
      <c r="E697" t="str">
        <f>CLEAN("303  ")</f>
        <v xml:space="preserve">303  </v>
      </c>
      <c r="F697" t="str">
        <f>CLEAN("$0 - $99,999             ")</f>
        <v xml:space="preserve">$0 - $99,999             </v>
      </c>
      <c r="G697" t="str">
        <f>CLEAN("R/E")</f>
        <v>R/E</v>
      </c>
      <c r="H697" t="str">
        <f>CLEAN("NONLET CONSTR/REAL ESTATE")</f>
        <v>NONLET CONSTR/REAL ESTATE</v>
      </c>
      <c r="I697" t="str">
        <f>CLEAN("RE OPS/ 5726-00-61 / RSRF          ")</f>
        <v xml:space="preserve">RE OPS/ 5726-00-61 / RSRF          </v>
      </c>
      <c r="J697" t="str">
        <f>CLEAN("STH 188")</f>
        <v>STH 188</v>
      </c>
      <c r="K697" t="str">
        <f>CLEAN("DANE                          ")</f>
        <v xml:space="preserve">DANE                          </v>
      </c>
      <c r="L697" t="str">
        <f>CLEAN("SAUK CITY - MERRIMAC               ")</f>
        <v xml:space="preserve">SAUK CITY - MERRIMAC               </v>
      </c>
      <c r="M697" t="str">
        <f>CLEAN("USH 12 TO STH 60                   ")</f>
        <v xml:space="preserve">USH 12 TO STH 60                   </v>
      </c>
      <c r="N697">
        <v>2.93</v>
      </c>
      <c r="O697" t="str">
        <f t="shared" si="218"/>
        <v xml:space="preserve">          </v>
      </c>
      <c r="P6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98" spans="1:16" x14ac:dyDescent="0.25">
      <c r="A698" t="str">
        <f t="shared" si="219"/>
        <v>10</v>
      </c>
      <c r="B698" t="str">
        <f t="shared" si="215"/>
        <v>21</v>
      </c>
      <c r="C698" s="1">
        <v>45437</v>
      </c>
      <c r="D698" t="str">
        <f>CLEAN("5730-00-24")</f>
        <v>5730-00-24</v>
      </c>
      <c r="E698" t="str">
        <f>CLEAN("303  ")</f>
        <v xml:space="preserve">303  </v>
      </c>
      <c r="F698" t="str">
        <f>CLEAN("$0 - $99,999             ")</f>
        <v xml:space="preserve">$0 - $99,999             </v>
      </c>
      <c r="G698" t="str">
        <f>CLEAN("R/E")</f>
        <v>R/E</v>
      </c>
      <c r="H698" t="str">
        <f>CLEAN("NONLET CONSTR/REAL ESTATE")</f>
        <v>NONLET CONSTR/REAL ESTATE</v>
      </c>
      <c r="I698" t="str">
        <f>CLEAN("RE OPS/ 5730-00-64/ RSRF15         ")</f>
        <v xml:space="preserve">RE OPS/ 5730-00-64/ RSRF15         </v>
      </c>
      <c r="J698" t="str">
        <f>CLEAN("STH 056")</f>
        <v>STH 056</v>
      </c>
      <c r="K698" t="str">
        <f>CLEAN("RICHLAND                      ")</f>
        <v xml:space="preserve">RICHLAND                      </v>
      </c>
      <c r="L698" t="str">
        <f>CLEAN("VIROQUA - RICHLAND CENTER          ")</f>
        <v xml:space="preserve">VIROQUA - RICHLAND CENTER          </v>
      </c>
      <c r="M698" t="str">
        <f>CLEAN("S JCN STH 131 TO FANCY CK B-52-223 ")</f>
        <v xml:space="preserve">S JCN STH 131 TO FANCY CK B-52-223 </v>
      </c>
      <c r="N698">
        <v>10.321</v>
      </c>
      <c r="O698" t="str">
        <f t="shared" si="218"/>
        <v xml:space="preserve">          </v>
      </c>
      <c r="P6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99" spans="1:16" x14ac:dyDescent="0.25">
      <c r="A699" t="str">
        <f t="shared" si="219"/>
        <v>10</v>
      </c>
      <c r="B699" t="str">
        <f t="shared" si="215"/>
        <v>21</v>
      </c>
      <c r="C699" s="1">
        <v>45545</v>
      </c>
      <c r="D699" t="str">
        <f>CLEAN("5742-00-72")</f>
        <v>5742-00-72</v>
      </c>
      <c r="E699" t="str">
        <f>CLEAN("205  ")</f>
        <v xml:space="preserve">205  </v>
      </c>
      <c r="F699" t="str">
        <f>CLEAN("$250,000 - $499,999      ")</f>
        <v xml:space="preserve">$250,000 - $499,999      </v>
      </c>
      <c r="G699" t="str">
        <f>CLEAN("LET")</f>
        <v>LET</v>
      </c>
      <c r="H699" t="str">
        <f>CLEAN("LET CONSTRUCTION         ")</f>
        <v xml:space="preserve">LET CONSTRUCTION         </v>
      </c>
      <c r="I699" t="str">
        <f>CLEAN("CONST/BRIDGE REPLACEMENT           ")</f>
        <v xml:space="preserve">CONST/BRIDGE REPLACEMENT           </v>
      </c>
      <c r="J699" t="str">
        <f>CLEAN("LOC STR")</f>
        <v>LOC STR</v>
      </c>
      <c r="K699" t="str">
        <f>CLEAN("DANE                          ")</f>
        <v xml:space="preserve">DANE                          </v>
      </c>
      <c r="L699" t="str">
        <f>CLEAN("T OF RUTLAND, LAKE KEGONSA ROAD    ")</f>
        <v xml:space="preserve">T OF RUTLAND, LAKE KEGONSA ROAD    </v>
      </c>
      <c r="M699" t="str">
        <f>CLEAN("BADFISH CREEK BRIDGE, B-13-0885    ")</f>
        <v xml:space="preserve">BADFISH CREEK BRIDGE, B-13-0885    </v>
      </c>
      <c r="N699">
        <v>0</v>
      </c>
      <c r="O699" t="str">
        <f t="shared" si="218"/>
        <v xml:space="preserve">          </v>
      </c>
      <c r="P69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00" spans="1:16" x14ac:dyDescent="0.25">
      <c r="A700" t="str">
        <f t="shared" si="219"/>
        <v>10</v>
      </c>
      <c r="B700" t="str">
        <f t="shared" si="215"/>
        <v>21</v>
      </c>
      <c r="C700" s="1">
        <v>45517</v>
      </c>
      <c r="D700" t="str">
        <f>CLEAN("5755-00-11")</f>
        <v>5755-00-11</v>
      </c>
      <c r="E700" t="str">
        <f>CLEAN("206  ")</f>
        <v xml:space="preserve">206  </v>
      </c>
      <c r="F700" t="str">
        <f>CLEAN("$750,000 - $999,999      ")</f>
        <v xml:space="preserve">$750,000 - $999,999      </v>
      </c>
      <c r="G700" t="str">
        <f>CLEAN("LET")</f>
        <v>LET</v>
      </c>
      <c r="H700" t="str">
        <f>CLEAN("LET CONSTRUCTION         ")</f>
        <v xml:space="preserve">LET CONSTRUCTION         </v>
      </c>
      <c r="I700" t="str">
        <f>CLEAN("CONST OPS/RECONDITION              ")</f>
        <v xml:space="preserve">CONST OPS/RECONDITION              </v>
      </c>
      <c r="J700" t="str">
        <f>CLEAN("CTH Q  ")</f>
        <v xml:space="preserve">CTH Q  </v>
      </c>
      <c r="K700" t="str">
        <f>CLEAN("ROCK                          ")</f>
        <v xml:space="preserve">ROCK                          </v>
      </c>
      <c r="L700" t="str">
        <f>CLEAN("CITY OF BELOIT, CTH Q              ")</f>
        <v xml:space="preserve">CITY OF BELOIT, CTH Q              </v>
      </c>
      <c r="M700" t="str">
        <f>CLEAN("CTH D TO USH 51                    ")</f>
        <v xml:space="preserve">CTH D TO USH 51                    </v>
      </c>
      <c r="N700">
        <v>0.78</v>
      </c>
      <c r="O700" t="str">
        <f t="shared" si="218"/>
        <v xml:space="preserve">          </v>
      </c>
      <c r="P700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01" spans="1:16" x14ac:dyDescent="0.25">
      <c r="A701" t="str">
        <f t="shared" si="219"/>
        <v>10</v>
      </c>
      <c r="B701" t="str">
        <f t="shared" si="215"/>
        <v>21</v>
      </c>
      <c r="C701" s="1">
        <v>45316</v>
      </c>
      <c r="D701" t="str">
        <f>CLEAN("5770-02-22")</f>
        <v>5770-02-22</v>
      </c>
      <c r="E701" t="str">
        <f>CLEAN("303  ")</f>
        <v xml:space="preserve">303  </v>
      </c>
      <c r="F701" t="str">
        <f>CLEAN("$0 - $99,999             ")</f>
        <v xml:space="preserve">$0 - $99,999             </v>
      </c>
      <c r="G701" t="str">
        <f>CLEAN("R/E")</f>
        <v>R/E</v>
      </c>
      <c r="H701" t="str">
        <f>CLEAN("NONLET CONSTR/REAL ESTATE")</f>
        <v>NONLET CONSTR/REAL ESTATE</v>
      </c>
      <c r="I701" t="str">
        <f>CLEAN("DESIGN-RIGHT OF WAY - RECST        ")</f>
        <v xml:space="preserve">DESIGN-RIGHT OF WAY - RECST        </v>
      </c>
      <c r="J701" t="str">
        <f>CLEAN("STH 130")</f>
        <v>STH 130</v>
      </c>
      <c r="K701" t="str">
        <f>CLEAN("IOWA                          ")</f>
        <v xml:space="preserve">IOWA                          </v>
      </c>
      <c r="L701" t="str">
        <f>CLEAN("STH 23 - LONE ROCK                 ")</f>
        <v xml:space="preserve">STH 23 - LONE ROCK                 </v>
      </c>
      <c r="M701" t="str">
        <f>CLEAN("GARTHWAITE LN TO SPRING VALLEY RD  ")</f>
        <v xml:space="preserve">GARTHWAITE LN TO SPRING VALLEY RD  </v>
      </c>
      <c r="N701">
        <v>0.38200000000000001</v>
      </c>
      <c r="O701" t="str">
        <f t="shared" si="218"/>
        <v xml:space="preserve">          </v>
      </c>
      <c r="P70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02" spans="1:16" x14ac:dyDescent="0.25">
      <c r="A702" t="str">
        <f t="shared" si="219"/>
        <v>10</v>
      </c>
      <c r="B702" t="str">
        <f t="shared" si="215"/>
        <v>21</v>
      </c>
      <c r="C702" s="1">
        <v>45608</v>
      </c>
      <c r="D702" t="str">
        <f>CLEAN("5780-03-61")</f>
        <v>5780-03-61</v>
      </c>
      <c r="E702" t="str">
        <f>CLEAN("303  ")</f>
        <v xml:space="preserve">303  </v>
      </c>
      <c r="F702" t="str">
        <f>CLEAN("$5,000,000 - $5,999,999  ")</f>
        <v xml:space="preserve">$5,000,000 - $5,999,999  </v>
      </c>
      <c r="G702" t="str">
        <f>CLEAN("LET")</f>
        <v>LET</v>
      </c>
      <c r="H702" t="str">
        <f>CLEAN("LET CONSTRUCTION         ")</f>
        <v xml:space="preserve">LET CONSTRUCTION         </v>
      </c>
      <c r="I702" t="str">
        <f>CLEAN("CONST/PAVEMENT REPLACE/PVRPLA      ")</f>
        <v xml:space="preserve">CONST/PAVEMENT REPLACE/PVRPLA      </v>
      </c>
      <c r="J702" t="str">
        <f>CLEAN("STH 131")</f>
        <v>STH 131</v>
      </c>
      <c r="K702" t="str">
        <f>CLEAN("CRAWFORD                      ")</f>
        <v xml:space="preserve">CRAWFORD                      </v>
      </c>
      <c r="L702" t="str">
        <f>CLEAN("WAUZEKA - SOLDIERS GROVE           ")</f>
        <v xml:space="preserve">WAUZEKA - SOLDIERS GROVE           </v>
      </c>
      <c r="M702" t="str">
        <f>CLEAN("STH 60 TO 0.49 MI E RAILWAY ST     ")</f>
        <v xml:space="preserve">STH 60 TO 0.49 MI E RAILWAY ST     </v>
      </c>
      <c r="N702">
        <v>7.72</v>
      </c>
      <c r="O702" t="str">
        <f t="shared" si="218"/>
        <v xml:space="preserve">          </v>
      </c>
      <c r="P70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03" spans="1:16" x14ac:dyDescent="0.25">
      <c r="A703" t="str">
        <f t="shared" si="219"/>
        <v>10</v>
      </c>
      <c r="B703" t="str">
        <f t="shared" ref="B703:B734" si="220">CLEAN("21")</f>
        <v>21</v>
      </c>
      <c r="C703" s="1">
        <v>45608</v>
      </c>
      <c r="D703" t="str">
        <f>CLEAN("5780-03-72")</f>
        <v>5780-03-72</v>
      </c>
      <c r="E703" t="str">
        <f>CLEAN("303  ")</f>
        <v xml:space="preserve">303  </v>
      </c>
      <c r="F703" t="str">
        <f>CLEAN("$7,000,000 - $7,999,999  ")</f>
        <v xml:space="preserve">$7,000,000 - $7,999,999  </v>
      </c>
      <c r="G703" t="str">
        <f>CLEAN("LET")</f>
        <v>LET</v>
      </c>
      <c r="H703" t="str">
        <f>CLEAN("LET CONSTRUCTION         ")</f>
        <v xml:space="preserve">LET CONSTRUCTION         </v>
      </c>
      <c r="I703" t="str">
        <f>CLEAN("CONST/MILL &amp; O'LAY/B-12-79/PVRPLA  ")</f>
        <v xml:space="preserve">CONST/MILL &amp; O'LAY/B-12-79/PVRPLA  </v>
      </c>
      <c r="J703" t="str">
        <f>CLEAN("STH 131")</f>
        <v>STH 131</v>
      </c>
      <c r="K703" t="str">
        <f>CLEAN("CRAWFORD                      ")</f>
        <v xml:space="preserve">CRAWFORD                      </v>
      </c>
      <c r="L703" t="str">
        <f>CLEAN("WAUZEKA - SOLDIERS GROVE           ")</f>
        <v xml:space="preserve">WAUZEKA - SOLDIERS GROVE           </v>
      </c>
      <c r="M703" t="str">
        <f>CLEAN("SUNNY RIDGE ROAD TO PLEASANT STREET")</f>
        <v>SUNNY RIDGE ROAD TO PLEASANT STREET</v>
      </c>
      <c r="N703">
        <v>14.61</v>
      </c>
      <c r="O703" t="str">
        <f t="shared" si="218"/>
        <v xml:space="preserve">          </v>
      </c>
      <c r="P70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04" spans="1:16" x14ac:dyDescent="0.25">
      <c r="A704" t="str">
        <f t="shared" si="219"/>
        <v>10</v>
      </c>
      <c r="B704" t="str">
        <f t="shared" si="220"/>
        <v>21</v>
      </c>
      <c r="C704" s="1">
        <v>45608</v>
      </c>
      <c r="D704" t="str">
        <f>CLEAN("5780-03-72")</f>
        <v>5780-03-72</v>
      </c>
      <c r="E704" t="str">
        <f>CLEAN("303  ")</f>
        <v xml:space="preserve">303  </v>
      </c>
      <c r="F704" t="str">
        <f>CLEAN("$7,000,000 - $7,999,999  ")</f>
        <v xml:space="preserve">$7,000,000 - $7,999,999  </v>
      </c>
      <c r="G704" t="str">
        <f>CLEAN("LET")</f>
        <v>LET</v>
      </c>
      <c r="H704" t="str">
        <f>CLEAN("LET CONSTRUCTION         ")</f>
        <v xml:space="preserve">LET CONSTRUCTION         </v>
      </c>
      <c r="I704" t="str">
        <f>CLEAN("CONST/MILL &amp; O'LAY/B-12-79/PVRPLA  ")</f>
        <v xml:space="preserve">CONST/MILL &amp; O'LAY/B-12-79/PVRPLA  </v>
      </c>
      <c r="J704" t="str">
        <f>CLEAN("STH 131")</f>
        <v>STH 131</v>
      </c>
      <c r="K704" t="str">
        <f>CLEAN("CRAWFORD                      ")</f>
        <v xml:space="preserve">CRAWFORD                      </v>
      </c>
      <c r="L704" t="str">
        <f>CLEAN("WAUZEKA - SOLDIERS GROVE           ")</f>
        <v xml:space="preserve">WAUZEKA - SOLDIERS GROVE           </v>
      </c>
      <c r="M704" t="str">
        <f>CLEAN("SUNNY RIDGE ROAD TO PLEASANT STREET")</f>
        <v>SUNNY RIDGE ROAD TO PLEASANT STREET</v>
      </c>
      <c r="N704">
        <v>14.61</v>
      </c>
      <c r="O704" t="str">
        <f t="shared" si="218"/>
        <v xml:space="preserve">          </v>
      </c>
      <c r="P70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05" spans="1:16" x14ac:dyDescent="0.25">
      <c r="A705" t="str">
        <f t="shared" si="219"/>
        <v>10</v>
      </c>
      <c r="B705" t="str">
        <f t="shared" si="220"/>
        <v>21</v>
      </c>
      <c r="C705" s="1">
        <v>45608</v>
      </c>
      <c r="D705" t="str">
        <f>CLEAN("5780-03-81")</f>
        <v>5780-03-81</v>
      </c>
      <c r="E705" t="str">
        <f>CLEAN("303  ")</f>
        <v xml:space="preserve">303  </v>
      </c>
      <c r="F705" t="str">
        <f>CLEAN("$5,000,000 - $5,999,999  ")</f>
        <v xml:space="preserve">$5,000,000 - $5,999,999  </v>
      </c>
      <c r="G705" t="str">
        <f>CLEAN("LET")</f>
        <v>LET</v>
      </c>
      <c r="H705" t="str">
        <f>CLEAN("LET CONSTRUCTION         ")</f>
        <v xml:space="preserve">LET CONSTRUCTION         </v>
      </c>
      <c r="I705" t="str">
        <f>CLEAN("CONST/B-12-196-198,254-256/PVRPLA  ")</f>
        <v xml:space="preserve">CONST/B-12-196-198,254-256/PVRPLA  </v>
      </c>
      <c r="J705" t="str">
        <f>CLEAN("STH 131")</f>
        <v>STH 131</v>
      </c>
      <c r="K705" t="str">
        <f>CLEAN("CRAWFORD                      ")</f>
        <v xml:space="preserve">CRAWFORD                      </v>
      </c>
      <c r="L705" t="str">
        <f>CLEAN("WAUZEKA - SOLDIERS GROVE           ")</f>
        <v xml:space="preserve">WAUZEKA - SOLDIERS GROVE           </v>
      </c>
      <c r="M705" t="str">
        <f>CLEAN("0.49M E RAILWAY ST TO SUNNYRIDGE RD")</f>
        <v>0.49M E RAILWAY ST TO SUNNYRIDGE RD</v>
      </c>
      <c r="N705">
        <v>4.43</v>
      </c>
      <c r="O705" t="str">
        <f t="shared" si="218"/>
        <v xml:space="preserve">          </v>
      </c>
      <c r="P705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706" spans="1:16" x14ac:dyDescent="0.25">
      <c r="A706" t="str">
        <f t="shared" si="219"/>
        <v>10</v>
      </c>
      <c r="B706" t="str">
        <f t="shared" si="220"/>
        <v>21</v>
      </c>
      <c r="C706" s="1">
        <v>45545</v>
      </c>
      <c r="D706" t="str">
        <f>CLEAN("5829-00-72")</f>
        <v>5829-00-72</v>
      </c>
      <c r="E706" t="str">
        <f>CLEAN("206  ")</f>
        <v xml:space="preserve">206  </v>
      </c>
      <c r="F706" t="str">
        <f>CLEAN("$250,000 - $499,999      ")</f>
        <v xml:space="preserve">$250,000 - $499,999      </v>
      </c>
      <c r="G706" t="str">
        <f>CLEAN("LET")</f>
        <v>LET</v>
      </c>
      <c r="H706" t="str">
        <f>CLEAN("LET CONSTRUCTION         ")</f>
        <v xml:space="preserve">LET CONSTRUCTION         </v>
      </c>
      <c r="I706" t="str">
        <f>CLEAN("CONST OPS/PVRPLA                   ")</f>
        <v xml:space="preserve">CONST OPS/PVRPLA                   </v>
      </c>
      <c r="J706" t="str">
        <f>CLEAN("LOC STR")</f>
        <v>LOC STR</v>
      </c>
      <c r="K706" t="str">
        <f>CLEAN("JUNEAU                        ")</f>
        <v xml:space="preserve">JUNEAU                        </v>
      </c>
      <c r="L706" t="str">
        <f>CLEAN("C NEW LISBON, W BRIDGE STREET      ")</f>
        <v xml:space="preserve">C NEW LISBON, W BRIDGE STREET      </v>
      </c>
      <c r="M706" t="str">
        <f>CLEAN("LEER STREET TO RIVER STREET        ")</f>
        <v xml:space="preserve">LEER STREET TO RIVER STREET        </v>
      </c>
      <c r="N706">
        <v>0.36</v>
      </c>
      <c r="O706" t="str">
        <f t="shared" si="218"/>
        <v xml:space="preserve">          </v>
      </c>
      <c r="P70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707" spans="1:16" x14ac:dyDescent="0.25">
      <c r="A707" t="str">
        <f t="shared" si="219"/>
        <v>10</v>
      </c>
      <c r="B707" t="str">
        <f t="shared" si="220"/>
        <v>21</v>
      </c>
      <c r="C707" s="1">
        <v>45437</v>
      </c>
      <c r="D707" t="str">
        <f>CLEAN("5845-16-20")</f>
        <v>5845-16-20</v>
      </c>
      <c r="E707" t="str">
        <f t="shared" ref="E707:E724" si="221">CLEAN("302  ")</f>
        <v xml:space="preserve">302  </v>
      </c>
      <c r="F707" t="str">
        <f>CLEAN("$0 - $99,999             ")</f>
        <v xml:space="preserve">$0 - $99,999             </v>
      </c>
      <c r="G707" t="str">
        <f t="shared" ref="G707:G718" si="222">CLEAN("R/E")</f>
        <v>R/E</v>
      </c>
      <c r="H707" t="str">
        <f t="shared" ref="H707:H720" si="223">CLEAN("NONLET CONSTR/REAL ESTATE")</f>
        <v>NONLET CONSTR/REAL ESTATE</v>
      </c>
      <c r="I707" t="str">
        <f>CLEAN("RE OPS/5845-16-82/RECST            ")</f>
        <v xml:space="preserve">RE OPS/5845-16-82/RECST            </v>
      </c>
      <c r="J707" t="str">
        <f t="shared" ref="J707:J724" si="224">CLEAN("USH 051")</f>
        <v>USH 051</v>
      </c>
      <c r="K707" t="str">
        <f t="shared" ref="K707:K726" si="225">CLEAN("DANE                          ")</f>
        <v xml:space="preserve">DANE                          </v>
      </c>
      <c r="L707" t="str">
        <f t="shared" ref="L707:L724" si="226">CLEAN("STOUGHTON - MADISON                ")</f>
        <v xml:space="preserve">STOUGHTON - MADISON                </v>
      </c>
      <c r="M707" t="str">
        <f>CLEAN("5TH STREET TO HARRISON STREET      ")</f>
        <v xml:space="preserve">5TH STREET TO HARRISON STREET      </v>
      </c>
      <c r="N707">
        <v>3.65</v>
      </c>
      <c r="O707" t="str">
        <f t="shared" si="218"/>
        <v xml:space="preserve">          </v>
      </c>
      <c r="P707" t="str">
        <f t="shared" ref="P707:P724" si="227"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708" spans="1:16" x14ac:dyDescent="0.25">
      <c r="A708" t="str">
        <f t="shared" si="219"/>
        <v>10</v>
      </c>
      <c r="B708" t="str">
        <f t="shared" si="220"/>
        <v>21</v>
      </c>
      <c r="C708" s="1">
        <v>45285</v>
      </c>
      <c r="D708" t="str">
        <f>CLEAN("5845-16-21")</f>
        <v>5845-16-21</v>
      </c>
      <c r="E708" t="str">
        <f t="shared" si="221"/>
        <v xml:space="preserve">302  </v>
      </c>
      <c r="F708" t="str">
        <f>CLEAN("$250,000 - $499,999      ")</f>
        <v xml:space="preserve">$250,000 - $499,999      </v>
      </c>
      <c r="G708" t="str">
        <f t="shared" si="222"/>
        <v>R/E</v>
      </c>
      <c r="H708" t="str">
        <f t="shared" si="223"/>
        <v>NONLET CONSTR/REAL ESTATE</v>
      </c>
      <c r="I708" t="str">
        <f>CLEAN("RE/CONST 5845-16-71/RECST          ")</f>
        <v xml:space="preserve">RE/CONST 5845-16-71/RECST          </v>
      </c>
      <c r="J708" t="str">
        <f t="shared" si="224"/>
        <v>USH 051</v>
      </c>
      <c r="K708" t="str">
        <f t="shared" si="225"/>
        <v xml:space="preserve">DANE                          </v>
      </c>
      <c r="L708" t="str">
        <f t="shared" si="226"/>
        <v xml:space="preserve">STOUGHTON - MADISON                </v>
      </c>
      <c r="M708" t="str">
        <f>CLEAN("I39/90 TO SPRING RD                ")</f>
        <v xml:space="preserve">I39/90 TO SPRING RD                </v>
      </c>
      <c r="N708">
        <v>4.9800000000000004</v>
      </c>
      <c r="O708" t="str">
        <f t="shared" si="218"/>
        <v xml:space="preserve">          </v>
      </c>
      <c r="P708" t="str">
        <f t="shared" si="227"/>
        <v xml:space="preserve">MAJORS                                                                                              </v>
      </c>
    </row>
    <row r="709" spans="1:16" x14ac:dyDescent="0.25">
      <c r="A709" t="str">
        <f t="shared" si="219"/>
        <v>10</v>
      </c>
      <c r="B709" t="str">
        <f t="shared" si="220"/>
        <v>21</v>
      </c>
      <c r="C709" s="1">
        <v>45285</v>
      </c>
      <c r="D709" t="str">
        <f>CLEAN("5845-16-23")</f>
        <v>5845-16-23</v>
      </c>
      <c r="E709" t="str">
        <f t="shared" si="221"/>
        <v xml:space="preserve">302  </v>
      </c>
      <c r="F709" t="str">
        <f>CLEAN("$100,000-$249,999        ")</f>
        <v xml:space="preserve">$100,000-$249,999        </v>
      </c>
      <c r="G709" t="str">
        <f t="shared" si="222"/>
        <v>R/E</v>
      </c>
      <c r="H709" t="str">
        <f t="shared" si="223"/>
        <v>NONLET CONSTR/REAL ESTATE</v>
      </c>
      <c r="I709" t="str">
        <f>CLEAN("RE/CONST 5845-16-73/RECST          ")</f>
        <v xml:space="preserve">RE/CONST 5845-16-73/RECST          </v>
      </c>
      <c r="J709" t="str">
        <f t="shared" si="224"/>
        <v>USH 051</v>
      </c>
      <c r="K709" t="str">
        <f t="shared" si="225"/>
        <v xml:space="preserve">DANE                          </v>
      </c>
      <c r="L709" t="str">
        <f t="shared" si="226"/>
        <v xml:space="preserve">STOUGHTON - MADISON                </v>
      </c>
      <c r="M709" t="str">
        <f>CLEAN("HARRISON ST TO ROBY RD             ")</f>
        <v xml:space="preserve">HARRISON ST TO ROBY RD             </v>
      </c>
      <c r="N709">
        <v>1.665</v>
      </c>
      <c r="O709" t="str">
        <f t="shared" si="218"/>
        <v xml:space="preserve">          </v>
      </c>
      <c r="P709" t="str">
        <f t="shared" si="227"/>
        <v xml:space="preserve">MAJORS                                                                                              </v>
      </c>
    </row>
    <row r="710" spans="1:16" x14ac:dyDescent="0.25">
      <c r="A710" t="str">
        <f t="shared" si="219"/>
        <v>10</v>
      </c>
      <c r="B710" t="str">
        <f t="shared" si="220"/>
        <v>21</v>
      </c>
      <c r="C710" s="1">
        <v>45498</v>
      </c>
      <c r="D710" t="str">
        <f>CLEAN("5845-16-23")</f>
        <v>5845-16-23</v>
      </c>
      <c r="E710" t="str">
        <f t="shared" si="221"/>
        <v xml:space="preserve">302  </v>
      </c>
      <c r="F710" t="str">
        <f>CLEAN("$100,000-$249,999        ")</f>
        <v xml:space="preserve">$100,000-$249,999        </v>
      </c>
      <c r="G710" t="str">
        <f t="shared" si="222"/>
        <v>R/E</v>
      </c>
      <c r="H710" t="str">
        <f t="shared" si="223"/>
        <v>NONLET CONSTR/REAL ESTATE</v>
      </c>
      <c r="I710" t="str">
        <f>CLEAN("RE/CONST 5845-16-73/RECST          ")</f>
        <v xml:space="preserve">RE/CONST 5845-16-73/RECST          </v>
      </c>
      <c r="J710" t="str">
        <f t="shared" si="224"/>
        <v>USH 051</v>
      </c>
      <c r="K710" t="str">
        <f t="shared" si="225"/>
        <v xml:space="preserve">DANE                          </v>
      </c>
      <c r="L710" t="str">
        <f t="shared" si="226"/>
        <v xml:space="preserve">STOUGHTON - MADISON                </v>
      </c>
      <c r="M710" t="str">
        <f>CLEAN("HARRISON ST TO ROBY RD             ")</f>
        <v xml:space="preserve">HARRISON ST TO ROBY RD             </v>
      </c>
      <c r="N710">
        <v>1.665</v>
      </c>
      <c r="O710" t="str">
        <f t="shared" si="218"/>
        <v xml:space="preserve">          </v>
      </c>
      <c r="P710" t="str">
        <f t="shared" si="227"/>
        <v xml:space="preserve">MAJORS                                                                                              </v>
      </c>
    </row>
    <row r="711" spans="1:16" x14ac:dyDescent="0.25">
      <c r="A711" t="str">
        <f t="shared" si="219"/>
        <v>10</v>
      </c>
      <c r="B711" t="str">
        <f t="shared" si="220"/>
        <v>21</v>
      </c>
      <c r="C711" s="1">
        <v>45285</v>
      </c>
      <c r="D711" t="str">
        <f>CLEAN("5845-16-24")</f>
        <v>5845-16-24</v>
      </c>
      <c r="E711" t="str">
        <f t="shared" si="221"/>
        <v xml:space="preserve">302  </v>
      </c>
      <c r="F711" t="str">
        <f>CLEAN("$1,000,000 - $1,999,999  ")</f>
        <v xml:space="preserve">$1,000,000 - $1,999,999  </v>
      </c>
      <c r="G711" t="str">
        <f t="shared" si="222"/>
        <v>R/E</v>
      </c>
      <c r="H711" t="str">
        <f t="shared" si="223"/>
        <v>NONLET CONSTR/REAL ESTATE</v>
      </c>
      <c r="I711" t="str">
        <f>CLEAN("RE/CONSTR 5845-16-74/RECST         ")</f>
        <v xml:space="preserve">RE/CONSTR 5845-16-74/RECST         </v>
      </c>
      <c r="J711" t="str">
        <f t="shared" si="224"/>
        <v>USH 051</v>
      </c>
      <c r="K711" t="str">
        <f t="shared" si="225"/>
        <v xml:space="preserve">DANE                          </v>
      </c>
      <c r="L711" t="str">
        <f t="shared" si="226"/>
        <v xml:space="preserve">STOUGHTON - MADISON                </v>
      </c>
      <c r="M711" t="str">
        <f>CLEAN("ROBY ROAD TO S CTH B/AB            ")</f>
        <v xml:space="preserve">ROBY ROAD TO S CTH B/AB            </v>
      </c>
      <c r="N711">
        <v>3.8</v>
      </c>
      <c r="O711" t="str">
        <f t="shared" si="218"/>
        <v xml:space="preserve">          </v>
      </c>
      <c r="P711" t="str">
        <f t="shared" si="227"/>
        <v xml:space="preserve">MAJORS                                                                                              </v>
      </c>
    </row>
    <row r="712" spans="1:16" x14ac:dyDescent="0.25">
      <c r="A712" t="str">
        <f t="shared" si="219"/>
        <v>10</v>
      </c>
      <c r="B712" t="str">
        <f t="shared" si="220"/>
        <v>21</v>
      </c>
      <c r="C712" s="1">
        <v>45498</v>
      </c>
      <c r="D712" t="str">
        <f>CLEAN("5845-16-24")</f>
        <v>5845-16-24</v>
      </c>
      <c r="E712" t="str">
        <f t="shared" si="221"/>
        <v xml:space="preserve">302  </v>
      </c>
      <c r="F712" t="str">
        <f>CLEAN("$500,000 - $749,999      ")</f>
        <v xml:space="preserve">$500,000 - $749,999      </v>
      </c>
      <c r="G712" t="str">
        <f t="shared" si="222"/>
        <v>R/E</v>
      </c>
      <c r="H712" t="str">
        <f t="shared" si="223"/>
        <v>NONLET CONSTR/REAL ESTATE</v>
      </c>
      <c r="I712" t="str">
        <f>CLEAN("RE/CONSTR 5845-16-74/RECST         ")</f>
        <v xml:space="preserve">RE/CONSTR 5845-16-74/RECST         </v>
      </c>
      <c r="J712" t="str">
        <f t="shared" si="224"/>
        <v>USH 051</v>
      </c>
      <c r="K712" t="str">
        <f t="shared" si="225"/>
        <v xml:space="preserve">DANE                          </v>
      </c>
      <c r="L712" t="str">
        <f t="shared" si="226"/>
        <v xml:space="preserve">STOUGHTON - MADISON                </v>
      </c>
      <c r="M712" t="str">
        <f>CLEAN("ROBY ROAD TO S CTH B/AB            ")</f>
        <v xml:space="preserve">ROBY ROAD TO S CTH B/AB            </v>
      </c>
      <c r="N712">
        <v>3.8</v>
      </c>
      <c r="O712" t="str">
        <f t="shared" si="218"/>
        <v xml:space="preserve">          </v>
      </c>
      <c r="P712" t="str">
        <f t="shared" si="227"/>
        <v xml:space="preserve">MAJORS                                                                                              </v>
      </c>
    </row>
    <row r="713" spans="1:16" x14ac:dyDescent="0.25">
      <c r="A713" t="str">
        <f t="shared" si="219"/>
        <v>10</v>
      </c>
      <c r="B713" t="str">
        <f t="shared" si="220"/>
        <v>21</v>
      </c>
      <c r="C713" s="1">
        <v>45590</v>
      </c>
      <c r="D713" t="str">
        <f>CLEAN("5845-16-25")</f>
        <v>5845-16-25</v>
      </c>
      <c r="E713" t="str">
        <f t="shared" si="221"/>
        <v xml:space="preserve">302  </v>
      </c>
      <c r="F713" t="str">
        <f>CLEAN("$500,000 - $749,999      ")</f>
        <v xml:space="preserve">$500,000 - $749,999      </v>
      </c>
      <c r="G713" t="str">
        <f t="shared" si="222"/>
        <v>R/E</v>
      </c>
      <c r="H713" t="str">
        <f t="shared" si="223"/>
        <v>NONLET CONSTR/REAL ESTATE</v>
      </c>
      <c r="I713" t="str">
        <f>CLEAN("RE/CONST 5845-16-75/RECST          ")</f>
        <v xml:space="preserve">RE/CONST 5845-16-75/RECST          </v>
      </c>
      <c r="J713" t="str">
        <f t="shared" si="224"/>
        <v>USH 051</v>
      </c>
      <c r="K713" t="str">
        <f t="shared" si="225"/>
        <v xml:space="preserve">DANE                          </v>
      </c>
      <c r="L713" t="str">
        <f t="shared" si="226"/>
        <v xml:space="preserve">STOUGHTON - MADISON                </v>
      </c>
      <c r="M713" t="str">
        <f>CLEAN("CTH B/AB TO TOWER ROAD             ")</f>
        <v xml:space="preserve">CTH B/AB TO TOWER ROAD             </v>
      </c>
      <c r="N713">
        <v>2.76</v>
      </c>
      <c r="O713" t="str">
        <f t="shared" si="218"/>
        <v xml:space="preserve">          </v>
      </c>
      <c r="P713" t="str">
        <f t="shared" si="227"/>
        <v xml:space="preserve">MAJORS                                                                                              </v>
      </c>
    </row>
    <row r="714" spans="1:16" x14ac:dyDescent="0.25">
      <c r="A714" t="str">
        <f t="shared" si="219"/>
        <v>10</v>
      </c>
      <c r="B714" t="str">
        <f t="shared" si="220"/>
        <v>21</v>
      </c>
      <c r="C714" s="1">
        <v>45285</v>
      </c>
      <c r="D714" t="str">
        <f>CLEAN("5845-16-26")</f>
        <v>5845-16-26</v>
      </c>
      <c r="E714" t="str">
        <f t="shared" si="221"/>
        <v xml:space="preserve">302  </v>
      </c>
      <c r="F714" t="str">
        <f>CLEAN("$250,000 - $499,999      ")</f>
        <v xml:space="preserve">$250,000 - $499,999      </v>
      </c>
      <c r="G714" t="str">
        <f t="shared" si="222"/>
        <v>R/E</v>
      </c>
      <c r="H714" t="str">
        <f t="shared" si="223"/>
        <v>NONLET CONSTR/REAL ESTATE</v>
      </c>
      <c r="I714" t="str">
        <f>CLEAN("RE/CONST 5845-16-76/RECST          ")</f>
        <v xml:space="preserve">RE/CONST 5845-16-76/RECST          </v>
      </c>
      <c r="J714" t="str">
        <f t="shared" si="224"/>
        <v>USH 051</v>
      </c>
      <c r="K714" t="str">
        <f t="shared" si="225"/>
        <v xml:space="preserve">DANE                          </v>
      </c>
      <c r="L714" t="str">
        <f t="shared" si="226"/>
        <v xml:space="preserve">STOUGHTON - MADISON                </v>
      </c>
      <c r="M714" t="str">
        <f>CLEAN("EXCHANGE ST TO LARSON BEACH RD     ")</f>
        <v xml:space="preserve">EXCHANGE ST TO LARSON BEACH RD     </v>
      </c>
      <c r="N714">
        <v>1.0900000000000001</v>
      </c>
      <c r="O714" t="str">
        <f t="shared" si="218"/>
        <v xml:space="preserve">          </v>
      </c>
      <c r="P714" t="str">
        <f t="shared" si="227"/>
        <v xml:space="preserve">MAJORS                                                                                              </v>
      </c>
    </row>
    <row r="715" spans="1:16" x14ac:dyDescent="0.25">
      <c r="A715" t="str">
        <f t="shared" si="219"/>
        <v>10</v>
      </c>
      <c r="B715" t="str">
        <f t="shared" si="220"/>
        <v>21</v>
      </c>
      <c r="C715" s="1">
        <v>45498</v>
      </c>
      <c r="D715" t="str">
        <f>CLEAN("5845-16-26")</f>
        <v>5845-16-26</v>
      </c>
      <c r="E715" t="str">
        <f t="shared" si="221"/>
        <v xml:space="preserve">302  </v>
      </c>
      <c r="F715" t="str">
        <f>CLEAN("$250,000 - $499,999      ")</f>
        <v xml:space="preserve">$250,000 - $499,999      </v>
      </c>
      <c r="G715" t="str">
        <f t="shared" si="222"/>
        <v>R/E</v>
      </c>
      <c r="H715" t="str">
        <f t="shared" si="223"/>
        <v>NONLET CONSTR/REAL ESTATE</v>
      </c>
      <c r="I715" t="str">
        <f>CLEAN("RE/CONST 5845-16-76/RECST          ")</f>
        <v xml:space="preserve">RE/CONST 5845-16-76/RECST          </v>
      </c>
      <c r="J715" t="str">
        <f t="shared" si="224"/>
        <v>USH 051</v>
      </c>
      <c r="K715" t="str">
        <f t="shared" si="225"/>
        <v xml:space="preserve">DANE                          </v>
      </c>
      <c r="L715" t="str">
        <f t="shared" si="226"/>
        <v xml:space="preserve">STOUGHTON - MADISON                </v>
      </c>
      <c r="M715" t="str">
        <f>CLEAN("EXCHANGE ST TO LARSON BEACH RD     ")</f>
        <v xml:space="preserve">EXCHANGE ST TO LARSON BEACH RD     </v>
      </c>
      <c r="N715">
        <v>1.0900000000000001</v>
      </c>
      <c r="O715" t="str">
        <f t="shared" si="218"/>
        <v xml:space="preserve">          </v>
      </c>
      <c r="P715" t="str">
        <f t="shared" si="227"/>
        <v xml:space="preserve">MAJORS                                                                                              </v>
      </c>
    </row>
    <row r="716" spans="1:16" x14ac:dyDescent="0.25">
      <c r="A716" t="str">
        <f t="shared" si="219"/>
        <v>10</v>
      </c>
      <c r="B716" t="str">
        <f t="shared" si="220"/>
        <v>21</v>
      </c>
      <c r="C716" s="1">
        <v>45285</v>
      </c>
      <c r="D716" t="str">
        <f>CLEAN("5845-16-27")</f>
        <v>5845-16-27</v>
      </c>
      <c r="E716" t="str">
        <f t="shared" si="221"/>
        <v xml:space="preserve">302  </v>
      </c>
      <c r="F716" t="str">
        <f>CLEAN("$0 - $99,999             ")</f>
        <v xml:space="preserve">$0 - $99,999             </v>
      </c>
      <c r="G716" t="str">
        <f t="shared" si="222"/>
        <v>R/E</v>
      </c>
      <c r="H716" t="str">
        <f t="shared" si="223"/>
        <v>NONLET CONSTR/REAL ESTATE</v>
      </c>
      <c r="I716" t="str">
        <f>CLEAN("RE/CONST 5845-16-77/RECST          ")</f>
        <v xml:space="preserve">RE/CONST 5845-16-77/RECST          </v>
      </c>
      <c r="J716" t="str">
        <f t="shared" si="224"/>
        <v>USH 051</v>
      </c>
      <c r="K716" t="str">
        <f t="shared" si="225"/>
        <v xml:space="preserve">DANE                          </v>
      </c>
      <c r="L716" t="str">
        <f t="shared" si="226"/>
        <v xml:space="preserve">STOUGHTON - MADISON                </v>
      </c>
      <c r="M716" t="str">
        <f>CLEAN("LARSON BEACH RD TO VOGES RD        ")</f>
        <v xml:space="preserve">LARSON BEACH RD TO VOGES RD        </v>
      </c>
      <c r="N716">
        <v>1.62</v>
      </c>
      <c r="O716" t="str">
        <f t="shared" si="218"/>
        <v xml:space="preserve">          </v>
      </c>
      <c r="P716" t="str">
        <f t="shared" si="227"/>
        <v xml:space="preserve">MAJORS                                                                                              </v>
      </c>
    </row>
    <row r="717" spans="1:16" x14ac:dyDescent="0.25">
      <c r="A717" t="str">
        <f t="shared" si="219"/>
        <v>10</v>
      </c>
      <c r="B717" t="str">
        <f t="shared" si="220"/>
        <v>21</v>
      </c>
      <c r="C717" s="1">
        <v>45285</v>
      </c>
      <c r="D717" t="str">
        <f>CLEAN("5845-16-28")</f>
        <v>5845-16-28</v>
      </c>
      <c r="E717" t="str">
        <f t="shared" si="221"/>
        <v xml:space="preserve">302  </v>
      </c>
      <c r="F717" t="str">
        <f>CLEAN("$100,000-$249,999        ")</f>
        <v xml:space="preserve">$100,000-$249,999        </v>
      </c>
      <c r="G717" t="str">
        <f t="shared" si="222"/>
        <v>R/E</v>
      </c>
      <c r="H717" t="str">
        <f t="shared" si="223"/>
        <v>NONLET CONSTR/REAL ESTATE</v>
      </c>
      <c r="I717" t="str">
        <f>CLEAN("RE OPS/5845-16-84/RECST            ")</f>
        <v xml:space="preserve">RE OPS/5845-16-84/RECST            </v>
      </c>
      <c r="J717" t="str">
        <f t="shared" si="224"/>
        <v>USH 051</v>
      </c>
      <c r="K717" t="str">
        <f t="shared" si="225"/>
        <v xml:space="preserve">DANE                          </v>
      </c>
      <c r="L717" t="str">
        <f t="shared" si="226"/>
        <v xml:space="preserve">STOUGHTON - MADISON                </v>
      </c>
      <c r="M717" t="str">
        <f>CLEAN("EXCHANGE STREET INTERSECTION       ")</f>
        <v xml:space="preserve">EXCHANGE STREET INTERSECTION       </v>
      </c>
      <c r="N717">
        <v>6.57</v>
      </c>
      <c r="O717" t="str">
        <f t="shared" si="218"/>
        <v xml:space="preserve">          </v>
      </c>
      <c r="P717" t="str">
        <f t="shared" si="227"/>
        <v xml:space="preserve">MAJORS                                                                                              </v>
      </c>
    </row>
    <row r="718" spans="1:16" x14ac:dyDescent="0.25">
      <c r="A718" t="str">
        <f t="shared" si="219"/>
        <v>10</v>
      </c>
      <c r="B718" t="str">
        <f t="shared" si="220"/>
        <v>21</v>
      </c>
      <c r="C718" s="1">
        <v>45285</v>
      </c>
      <c r="D718" t="str">
        <f>CLEAN("5845-16-29")</f>
        <v>5845-16-29</v>
      </c>
      <c r="E718" t="str">
        <f t="shared" si="221"/>
        <v xml:space="preserve">302  </v>
      </c>
      <c r="F718" t="str">
        <f>CLEAN("$250,000 - $499,999      ")</f>
        <v xml:space="preserve">$250,000 - $499,999      </v>
      </c>
      <c r="G718" t="str">
        <f t="shared" si="222"/>
        <v>R/E</v>
      </c>
      <c r="H718" t="str">
        <f t="shared" si="223"/>
        <v>NONLET CONSTR/REAL ESTATE</v>
      </c>
      <c r="I718" t="str">
        <f>CLEAN("RE/EARLY ACQUIS/5845-16-74/RECST   ")</f>
        <v xml:space="preserve">RE/EARLY ACQUIS/5845-16-74/RECST   </v>
      </c>
      <c r="J718" t="str">
        <f t="shared" si="224"/>
        <v>USH 051</v>
      </c>
      <c r="K718" t="str">
        <f t="shared" si="225"/>
        <v xml:space="preserve">DANE                          </v>
      </c>
      <c r="L718" t="str">
        <f t="shared" si="226"/>
        <v xml:space="preserve">STOUGHTON - MADISON                </v>
      </c>
      <c r="M718" t="str">
        <f>CLEAN("ROBY ROAD TO S CTH B/AB            ")</f>
        <v xml:space="preserve">ROBY ROAD TO S CTH B/AB            </v>
      </c>
      <c r="N718">
        <v>3.8</v>
      </c>
      <c r="O718" t="str">
        <f t="shared" si="218"/>
        <v xml:space="preserve">          </v>
      </c>
      <c r="P718" t="str">
        <f t="shared" si="227"/>
        <v xml:space="preserve">MAJORS                                                                                              </v>
      </c>
    </row>
    <row r="719" spans="1:16" x14ac:dyDescent="0.25">
      <c r="A719" t="str">
        <f t="shared" si="219"/>
        <v>10</v>
      </c>
      <c r="B719" t="str">
        <f t="shared" si="220"/>
        <v>21</v>
      </c>
      <c r="C719" s="1">
        <v>45621</v>
      </c>
      <c r="D719" t="str">
        <f>CLEAN("5845-16-52")</f>
        <v>5845-16-52</v>
      </c>
      <c r="E719" t="str">
        <f t="shared" si="221"/>
        <v xml:space="preserve">302  </v>
      </c>
      <c r="F719" t="str">
        <f>CLEAN("$250,000 - $499,999      ")</f>
        <v xml:space="preserve">$250,000 - $499,999      </v>
      </c>
      <c r="G719" t="str">
        <f>CLEAN("R/R")</f>
        <v>R/R</v>
      </c>
      <c r="H719" t="str">
        <f t="shared" si="223"/>
        <v>NONLET CONSTR/REAL ESTATE</v>
      </c>
      <c r="I719" t="str">
        <f>CLEAN("RR/391684C SURFACE/RECST           ")</f>
        <v xml:space="preserve">RR/391684C SURFACE/RECST           </v>
      </c>
      <c r="J719" t="str">
        <f t="shared" si="224"/>
        <v>USH 051</v>
      </c>
      <c r="K719" t="str">
        <f t="shared" si="225"/>
        <v xml:space="preserve">DANE                          </v>
      </c>
      <c r="L719" t="str">
        <f t="shared" si="226"/>
        <v xml:space="preserve">STOUGHTON - MADISON                </v>
      </c>
      <c r="M719" t="str">
        <f>CLEAN("SPRING RD TO FIFTH ST              ")</f>
        <v xml:space="preserve">SPRING RD TO FIFTH ST              </v>
      </c>
      <c r="N719">
        <v>0</v>
      </c>
      <c r="O719" t="str">
        <f t="shared" si="218"/>
        <v xml:space="preserve">          </v>
      </c>
      <c r="P719" t="str">
        <f t="shared" si="227"/>
        <v xml:space="preserve">MAJORS                                                                                              </v>
      </c>
    </row>
    <row r="720" spans="1:16" x14ac:dyDescent="0.25">
      <c r="A720" t="str">
        <f t="shared" si="219"/>
        <v>10</v>
      </c>
      <c r="B720" t="str">
        <f t="shared" si="220"/>
        <v>21</v>
      </c>
      <c r="C720" s="1">
        <v>45621</v>
      </c>
      <c r="D720" t="str">
        <f>CLEAN("5845-16-53")</f>
        <v>5845-16-53</v>
      </c>
      <c r="E720" t="str">
        <f t="shared" si="221"/>
        <v xml:space="preserve">302  </v>
      </c>
      <c r="F720" t="str">
        <f>CLEAN("$100,000-$249,999        ")</f>
        <v xml:space="preserve">$100,000-$249,999        </v>
      </c>
      <c r="G720" t="str">
        <f>CLEAN("R/R")</f>
        <v>R/R</v>
      </c>
      <c r="H720" t="str">
        <f t="shared" si="223"/>
        <v>NONLET CONSTR/REAL ESTATE</v>
      </c>
      <c r="I720" t="str">
        <f>CLEAN("RR/391684C SIGNALS/RECST           ")</f>
        <v xml:space="preserve">RR/391684C SIGNALS/RECST           </v>
      </c>
      <c r="J720" t="str">
        <f t="shared" si="224"/>
        <v>USH 051</v>
      </c>
      <c r="K720" t="str">
        <f t="shared" si="225"/>
        <v xml:space="preserve">DANE                          </v>
      </c>
      <c r="L720" t="str">
        <f t="shared" si="226"/>
        <v xml:space="preserve">STOUGHTON - MADISON                </v>
      </c>
      <c r="M720" t="str">
        <f>CLEAN("SPRING RD TO FIFTH ST              ")</f>
        <v xml:space="preserve">SPRING RD TO FIFTH ST              </v>
      </c>
      <c r="N720">
        <v>0</v>
      </c>
      <c r="O720" t="str">
        <f t="shared" si="218"/>
        <v xml:space="preserve">          </v>
      </c>
      <c r="P720" t="str">
        <f t="shared" si="227"/>
        <v xml:space="preserve">MAJORS                                                                                              </v>
      </c>
    </row>
    <row r="721" spans="1:16" x14ac:dyDescent="0.25">
      <c r="A721" t="str">
        <f t="shared" si="219"/>
        <v>10</v>
      </c>
      <c r="B721" t="str">
        <f t="shared" si="220"/>
        <v>21</v>
      </c>
      <c r="C721" s="1">
        <v>45608</v>
      </c>
      <c r="D721" t="str">
        <f>CLEAN("5845-16-72")</f>
        <v>5845-16-72</v>
      </c>
      <c r="E721" t="str">
        <f t="shared" si="221"/>
        <v xml:space="preserve">302  </v>
      </c>
      <c r="F721" t="str">
        <f>CLEAN("$8,000,000 - $8,999,999  ")</f>
        <v xml:space="preserve">$8,000,000 - $8,999,999  </v>
      </c>
      <c r="G721" t="str">
        <f>CLEAN("LET")</f>
        <v>LET</v>
      </c>
      <c r="H721" t="str">
        <f>CLEAN("LET CONSTRUCTION         ")</f>
        <v xml:space="preserve">LET CONSTRUCTION         </v>
      </c>
      <c r="I721" t="str">
        <f>CLEAN("CONST/RECST                        ")</f>
        <v xml:space="preserve">CONST/RECST                        </v>
      </c>
      <c r="J721" t="str">
        <f t="shared" si="224"/>
        <v>USH 051</v>
      </c>
      <c r="K721" t="str">
        <f t="shared" si="225"/>
        <v xml:space="preserve">DANE                          </v>
      </c>
      <c r="L721" t="str">
        <f t="shared" si="226"/>
        <v xml:space="preserve">STOUGHTON - MADISON                </v>
      </c>
      <c r="M721" t="str">
        <f>CLEAN("SPRING RD TO FIFTH ST              ")</f>
        <v xml:space="preserve">SPRING RD TO FIFTH ST              </v>
      </c>
      <c r="N721">
        <v>1.36</v>
      </c>
      <c r="O721" t="str">
        <f>CLEAN("5845-16-79")</f>
        <v>5845-16-79</v>
      </c>
      <c r="P721" t="str">
        <f t="shared" si="227"/>
        <v xml:space="preserve">MAJORS                                                                                              </v>
      </c>
    </row>
    <row r="722" spans="1:16" x14ac:dyDescent="0.25">
      <c r="A722" t="str">
        <f t="shared" si="219"/>
        <v>10</v>
      </c>
      <c r="B722" t="str">
        <f t="shared" si="220"/>
        <v>21</v>
      </c>
      <c r="C722" s="1">
        <v>45608</v>
      </c>
      <c r="D722" t="str">
        <f>CLEAN("5845-16-77")</f>
        <v>5845-16-77</v>
      </c>
      <c r="E722" t="str">
        <f t="shared" si="221"/>
        <v xml:space="preserve">302  </v>
      </c>
      <c r="F722" t="str">
        <f>CLEAN("$15,000,000 - $16,999,999")</f>
        <v>$15,000,000 - $16,999,999</v>
      </c>
      <c r="G722" t="str">
        <f>CLEAN("LET")</f>
        <v>LET</v>
      </c>
      <c r="H722" t="str">
        <f>CLEAN("LET CONSTRUCTION         ")</f>
        <v xml:space="preserve">LET CONSTRUCTION         </v>
      </c>
      <c r="I722" t="str">
        <f>CLEAN("CONST/ B-13-0899/ RECST            ")</f>
        <v xml:space="preserve">CONST/ B-13-0899/ RECST            </v>
      </c>
      <c r="J722" t="str">
        <f t="shared" si="224"/>
        <v>USH 051</v>
      </c>
      <c r="K722" t="str">
        <f t="shared" si="225"/>
        <v xml:space="preserve">DANE                          </v>
      </c>
      <c r="L722" t="str">
        <f t="shared" si="226"/>
        <v xml:space="preserve">STOUGHTON - MADISON                </v>
      </c>
      <c r="M722" t="str">
        <f>CLEAN("LARSON BEACH RD TO VOGES RD        ")</f>
        <v xml:space="preserve">LARSON BEACH RD TO VOGES RD        </v>
      </c>
      <c r="N722">
        <v>1.62</v>
      </c>
      <c r="O722" t="str">
        <f>CLEAN("          ")</f>
        <v xml:space="preserve">          </v>
      </c>
      <c r="P722" t="str">
        <f t="shared" si="227"/>
        <v xml:space="preserve">MAJORS                                                                                              </v>
      </c>
    </row>
    <row r="723" spans="1:16" x14ac:dyDescent="0.25">
      <c r="A723" t="str">
        <f t="shared" si="219"/>
        <v>10</v>
      </c>
      <c r="B723" t="str">
        <f t="shared" si="220"/>
        <v>21</v>
      </c>
      <c r="C723" s="1">
        <v>45608</v>
      </c>
      <c r="D723" t="str">
        <f>CLEAN("5845-16-79")</f>
        <v>5845-16-79</v>
      </c>
      <c r="E723" t="str">
        <f t="shared" si="221"/>
        <v xml:space="preserve">302  </v>
      </c>
      <c r="F723" t="str">
        <f>CLEAN("$1,000,000 - $1,999,999  ")</f>
        <v xml:space="preserve">$1,000,000 - $1,999,999  </v>
      </c>
      <c r="G723" t="str">
        <f>CLEAN("LET")</f>
        <v>LET</v>
      </c>
      <c r="H723" t="str">
        <f>CLEAN("LET CONSTRUCTION         ")</f>
        <v xml:space="preserve">LET CONSTRUCTION         </v>
      </c>
      <c r="I723" t="str">
        <f>CLEAN("CONST/SANITARY SEWER &amp; WATER/RECST ")</f>
        <v xml:space="preserve">CONST/SANITARY SEWER &amp; WATER/RECST </v>
      </c>
      <c r="J723" t="str">
        <f t="shared" si="224"/>
        <v>USH 051</v>
      </c>
      <c r="K723" t="str">
        <f t="shared" si="225"/>
        <v xml:space="preserve">DANE                          </v>
      </c>
      <c r="L723" t="str">
        <f t="shared" si="226"/>
        <v xml:space="preserve">STOUGHTON - MADISON                </v>
      </c>
      <c r="M723" t="str">
        <f>CLEAN("SPRING RD TO FIFTH ST              ")</f>
        <v xml:space="preserve">SPRING RD TO FIFTH ST              </v>
      </c>
      <c r="N723">
        <v>1.36</v>
      </c>
      <c r="O723" t="str">
        <f>CLEAN("5845-16-72")</f>
        <v>5845-16-72</v>
      </c>
      <c r="P723" t="str">
        <f t="shared" si="227"/>
        <v xml:space="preserve">MAJORS                                                                                              </v>
      </c>
    </row>
    <row r="724" spans="1:16" x14ac:dyDescent="0.25">
      <c r="A724" t="str">
        <f t="shared" si="219"/>
        <v>10</v>
      </c>
      <c r="B724" t="str">
        <f t="shared" si="220"/>
        <v>21</v>
      </c>
      <c r="C724" s="1">
        <v>45482</v>
      </c>
      <c r="D724" t="str">
        <f>CLEAN("5845-16-86")</f>
        <v>5845-16-86</v>
      </c>
      <c r="E724" t="str">
        <f t="shared" si="221"/>
        <v xml:space="preserve">302  </v>
      </c>
      <c r="F724" t="str">
        <f>CLEAN("$1,000,000 - $1,999,999  ")</f>
        <v xml:space="preserve">$1,000,000 - $1,999,999  </v>
      </c>
      <c r="G724" t="str">
        <f>CLEAN("LET")</f>
        <v>LET</v>
      </c>
      <c r="H724" t="str">
        <f>CLEAN("LET CONSTRUCTION         ")</f>
        <v xml:space="preserve">LET CONSTRUCTION         </v>
      </c>
      <c r="I724" t="str">
        <f>CLEAN("CONST/RECST                        ")</f>
        <v xml:space="preserve">CONST/RECST                        </v>
      </c>
      <c r="J724" t="str">
        <f t="shared" si="224"/>
        <v>USH 051</v>
      </c>
      <c r="K724" t="str">
        <f t="shared" si="225"/>
        <v xml:space="preserve">DANE                          </v>
      </c>
      <c r="L724" t="str">
        <f t="shared" si="226"/>
        <v xml:space="preserve">STOUGHTON - MADISON                </v>
      </c>
      <c r="M724" t="str">
        <f>CLEAN("LARSON BEACH RD TO VOGES RD        ")</f>
        <v xml:space="preserve">LARSON BEACH RD TO VOGES RD        </v>
      </c>
      <c r="N724">
        <v>1.62</v>
      </c>
      <c r="O724" t="str">
        <f t="shared" ref="O724:O742" si="228">CLEAN("          ")</f>
        <v xml:space="preserve">          </v>
      </c>
      <c r="P724" t="str">
        <f t="shared" si="227"/>
        <v xml:space="preserve">MAJORS                                                                                              </v>
      </c>
    </row>
    <row r="725" spans="1:16" x14ac:dyDescent="0.25">
      <c r="A725" t="str">
        <f t="shared" si="219"/>
        <v>10</v>
      </c>
      <c r="B725" t="str">
        <f t="shared" si="220"/>
        <v>21</v>
      </c>
      <c r="C725" s="1">
        <v>45316</v>
      </c>
      <c r="D725" t="str">
        <f>CLEAN("5849-00-21")</f>
        <v>5849-00-21</v>
      </c>
      <c r="E725" t="str">
        <f>CLEAN("206  ")</f>
        <v xml:space="preserve">206  </v>
      </c>
      <c r="F725" t="str">
        <f>CLEAN("$0 - $99,999             ")</f>
        <v xml:space="preserve">$0 - $99,999             </v>
      </c>
      <c r="G725" t="str">
        <f>CLEAN("MIS")</f>
        <v>MIS</v>
      </c>
      <c r="H725" t="str">
        <f>CLEAN("NONLET CONSTR/REAL ESTATE")</f>
        <v>NONLET CONSTR/REAL ESTATE</v>
      </c>
      <c r="I725" t="str">
        <f>CLEAN("CONST/CARBON RED-LED LIGHTING      ")</f>
        <v xml:space="preserve">CONST/CARBON RED-LED LIGHTING      </v>
      </c>
      <c r="J725" t="str">
        <f>CLEAN("VAR HWY")</f>
        <v>VAR HWY</v>
      </c>
      <c r="K725" t="str">
        <f t="shared" si="225"/>
        <v xml:space="preserve">DANE                          </v>
      </c>
      <c r="L725" t="str">
        <f>CLEAN("C FITCHBURG, LED STREET LIGHTS     ")</f>
        <v xml:space="preserve">C FITCHBURG, LED STREET LIGHTS     </v>
      </c>
      <c r="M725" t="str">
        <f>CLEAN("VARIOUS LOCATIONS - C FITCHBURG    ")</f>
        <v xml:space="preserve">VARIOUS LOCATIONS - C FITCHBURG    </v>
      </c>
      <c r="N725">
        <v>0</v>
      </c>
      <c r="O725" t="str">
        <f t="shared" si="228"/>
        <v xml:space="preserve">          </v>
      </c>
      <c r="P725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26" spans="1:16" x14ac:dyDescent="0.25">
      <c r="A726" t="str">
        <f t="shared" si="219"/>
        <v>10</v>
      </c>
      <c r="B726" t="str">
        <f t="shared" si="220"/>
        <v>21</v>
      </c>
      <c r="C726" s="1">
        <v>45517</v>
      </c>
      <c r="D726" t="str">
        <f>CLEAN("5849-02-07")</f>
        <v>5849-02-07</v>
      </c>
      <c r="E726" t="str">
        <f>CLEAN("206  ")</f>
        <v xml:space="preserve">206  </v>
      </c>
      <c r="F726" t="str">
        <f>CLEAN("$2,000,000 - $2,999,999  ")</f>
        <v xml:space="preserve">$2,000,000 - $2,999,999  </v>
      </c>
      <c r="G726" t="str">
        <f>CLEAN("LET")</f>
        <v>LET</v>
      </c>
      <c r="H726" t="str">
        <f>CLEAN("LET CONSTRUCTION         ")</f>
        <v xml:space="preserve">LET CONSTRUCTION         </v>
      </c>
      <c r="I726" t="str">
        <f>CLEAN("CONST/RECONFIG INTERSECTION RECST  ")</f>
        <v xml:space="preserve">CONST/RECONFIG INTERSECTION RECST  </v>
      </c>
      <c r="J726" t="str">
        <f>CLEAN("LOC STR")</f>
        <v>LOC STR</v>
      </c>
      <c r="K726" t="str">
        <f t="shared" si="225"/>
        <v xml:space="preserve">DANE                          </v>
      </c>
      <c r="L726" t="str">
        <f>CLEAN("C FITCHBURG, SYENE ROAD            ")</f>
        <v xml:space="preserve">C FITCHBURG, SYENE ROAD            </v>
      </c>
      <c r="M726" t="str">
        <f>CLEAN("MCCOY ROAD INTERSECTION            ")</f>
        <v xml:space="preserve">MCCOY ROAD INTERSECTION            </v>
      </c>
      <c r="N726">
        <v>0.35899999999999999</v>
      </c>
      <c r="O726" t="str">
        <f t="shared" si="228"/>
        <v xml:space="preserve">          </v>
      </c>
      <c r="P72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27" spans="1:16" x14ac:dyDescent="0.25">
      <c r="A727" t="str">
        <f t="shared" si="219"/>
        <v>10</v>
      </c>
      <c r="B727" t="str">
        <f t="shared" si="220"/>
        <v>21</v>
      </c>
      <c r="C727" s="1">
        <v>45285</v>
      </c>
      <c r="D727" t="str">
        <f>CLEAN("5865-02-24")</f>
        <v>5865-02-24</v>
      </c>
      <c r="E727" t="str">
        <f>CLEAN("303  ")</f>
        <v xml:space="preserve">303  </v>
      </c>
      <c r="F727" t="str">
        <f>CLEAN("$0 - $99,999             ")</f>
        <v xml:space="preserve">$0 - $99,999             </v>
      </c>
      <c r="G727" t="str">
        <f>CLEAN("R/E")</f>
        <v>R/E</v>
      </c>
      <c r="H727" t="str">
        <f>CLEAN("NONLET CONSTR/REAL ESTATE")</f>
        <v>NONLET CONSTR/REAL ESTATE</v>
      </c>
      <c r="I727" t="str">
        <f>CLEAN("RE/ 5865-02-64/ RSRF               ")</f>
        <v xml:space="preserve">RE/ 5865-02-64/ RSRF               </v>
      </c>
      <c r="J727" t="str">
        <f>CLEAN("STH 162")</f>
        <v>STH 162</v>
      </c>
      <c r="K727" t="str">
        <f>CLEAN("VERNON                        ")</f>
        <v xml:space="preserve">VERNON                        </v>
      </c>
      <c r="L727" t="str">
        <f>CLEAN("STODDARD - COON VALLEY             ")</f>
        <v xml:space="preserve">STODDARD - COON VALLEY             </v>
      </c>
      <c r="M727" t="str">
        <f>CLEAN("VILLAGE PARK DRIVEWAY TO DEPOT ST  ")</f>
        <v xml:space="preserve">VILLAGE PARK DRIVEWAY TO DEPOT ST  </v>
      </c>
      <c r="N727">
        <v>6.91</v>
      </c>
      <c r="O727" t="str">
        <f t="shared" si="228"/>
        <v xml:space="preserve">          </v>
      </c>
      <c r="P7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28" spans="1:16" x14ac:dyDescent="0.25">
      <c r="A728" t="str">
        <f t="shared" si="219"/>
        <v>10</v>
      </c>
      <c r="B728" t="str">
        <f t="shared" si="220"/>
        <v>21</v>
      </c>
      <c r="C728" s="1">
        <v>45300</v>
      </c>
      <c r="D728" t="str">
        <f>CLEAN("5880-01-70")</f>
        <v>5880-01-70</v>
      </c>
      <c r="E728" t="str">
        <f>CLEAN("303  ")</f>
        <v xml:space="preserve">303  </v>
      </c>
      <c r="F728" t="str">
        <f>CLEAN("$2,000,000 - $2,999,999  ")</f>
        <v xml:space="preserve">$2,000,000 - $2,999,999  </v>
      </c>
      <c r="G728" t="str">
        <f>CLEAN("LET")</f>
        <v>LET</v>
      </c>
      <c r="H728" t="str">
        <f>CLEAN("LET CONSTRUCTION         ")</f>
        <v xml:space="preserve">LET CONSTRUCTION         </v>
      </c>
      <c r="I728" t="str">
        <f>CLEAN("CONS/ PAVE REPLACE                 ")</f>
        <v xml:space="preserve">CONS/ PAVE REPLACE                 </v>
      </c>
      <c r="J728" t="str">
        <f>CLEAN("USH 012")</f>
        <v>USH 012</v>
      </c>
      <c r="K728" t="str">
        <f>CLEAN("SAUK                          ")</f>
        <v xml:space="preserve">SAUK                          </v>
      </c>
      <c r="L728" t="str">
        <f>CLEAN("MAUSTON - WISCONSIN DELLS          ")</f>
        <v xml:space="preserve">MAUSTON - WISCONSIN DELLS          </v>
      </c>
      <c r="M728" t="str">
        <f>CLEAN("NORTH COUNTY LINE TO STH 13        ")</f>
        <v xml:space="preserve">NORTH COUNTY LINE TO STH 13        </v>
      </c>
      <c r="N728">
        <v>1.3140000000000001</v>
      </c>
      <c r="O728" t="str">
        <f t="shared" si="228"/>
        <v xml:space="preserve">          </v>
      </c>
      <c r="P72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29" spans="1:16" x14ac:dyDescent="0.25">
      <c r="A729" t="str">
        <f t="shared" si="219"/>
        <v>10</v>
      </c>
      <c r="B729" t="str">
        <f t="shared" si="220"/>
        <v>21</v>
      </c>
      <c r="C729" s="1">
        <v>45300</v>
      </c>
      <c r="D729" t="str">
        <f>CLEAN("5880-01-70")</f>
        <v>5880-01-70</v>
      </c>
      <c r="E729" t="str">
        <f>CLEAN("303  ")</f>
        <v xml:space="preserve">303  </v>
      </c>
      <c r="F729" t="str">
        <f>CLEAN("$2,000,000 - $2,999,999  ")</f>
        <v xml:space="preserve">$2,000,000 - $2,999,999  </v>
      </c>
      <c r="G729" t="str">
        <f>CLEAN("LET")</f>
        <v>LET</v>
      </c>
      <c r="H729" t="str">
        <f>CLEAN("LET CONSTRUCTION         ")</f>
        <v xml:space="preserve">LET CONSTRUCTION         </v>
      </c>
      <c r="I729" t="str">
        <f>CLEAN("CONS/ PAVE REPLACE                 ")</f>
        <v xml:space="preserve">CONS/ PAVE REPLACE                 </v>
      </c>
      <c r="J729" t="str">
        <f>CLEAN("USH 012")</f>
        <v>USH 012</v>
      </c>
      <c r="K729" t="str">
        <f>CLEAN("SAUK                          ")</f>
        <v xml:space="preserve">SAUK                          </v>
      </c>
      <c r="L729" t="str">
        <f>CLEAN("MAUSTON - WISCONSIN DELLS          ")</f>
        <v xml:space="preserve">MAUSTON - WISCONSIN DELLS          </v>
      </c>
      <c r="M729" t="str">
        <f>CLEAN("NORTH COUNTY LINE TO STH 13        ")</f>
        <v xml:space="preserve">NORTH COUNTY LINE TO STH 13        </v>
      </c>
      <c r="N729">
        <v>1.3140000000000001</v>
      </c>
      <c r="O729" t="str">
        <f t="shared" si="228"/>
        <v xml:space="preserve">          </v>
      </c>
      <c r="P72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0" spans="1:16" x14ac:dyDescent="0.25">
      <c r="A730" t="str">
        <f t="shared" si="219"/>
        <v>10</v>
      </c>
      <c r="B730" t="str">
        <f t="shared" si="220"/>
        <v>21</v>
      </c>
      <c r="C730" s="1">
        <v>45335</v>
      </c>
      <c r="D730" t="str">
        <f>CLEAN("5899-00-60")</f>
        <v>5899-00-60</v>
      </c>
      <c r="E730" t="str">
        <f>CLEAN("206  ")</f>
        <v xml:space="preserve">206  </v>
      </c>
      <c r="F730" t="str">
        <f>CLEAN("$100,000-$249,999        ")</f>
        <v xml:space="preserve">$100,000-$249,999        </v>
      </c>
      <c r="G730" t="str">
        <f>CLEAN("LET")</f>
        <v>LET</v>
      </c>
      <c r="H730" t="str">
        <f>CLEAN("LET CONSTRUCTION         ")</f>
        <v xml:space="preserve">LET CONSTRUCTION         </v>
      </c>
      <c r="I730" t="str">
        <f>CLEAN("CONST/SIGNING/MARKING/CURVE PAV'T  ")</f>
        <v xml:space="preserve">CONST/SIGNING/MARKING/CURVE PAV'T  </v>
      </c>
      <c r="J730" t="str">
        <f>CLEAN("CTH HH ")</f>
        <v xml:space="preserve">CTH HH </v>
      </c>
      <c r="K730" t="str">
        <f>CLEAN("SAUK                          ")</f>
        <v xml:space="preserve">SAUK                          </v>
      </c>
      <c r="L730" t="str">
        <f>CLEAN("REEDSBURG - LYNDON STATION         ")</f>
        <v xml:space="preserve">REEDSBURG - LYNDON STATION         </v>
      </c>
      <c r="M730" t="str">
        <f>CLEAN("CTH H TO THE JUNEAU COUNTY LINE    ")</f>
        <v xml:space="preserve">CTH H TO THE JUNEAU COUNTY LINE    </v>
      </c>
      <c r="N730">
        <v>3.4569999999999999</v>
      </c>
      <c r="O730" t="str">
        <f t="shared" si="228"/>
        <v xml:space="preserve">          </v>
      </c>
      <c r="P730" t="str">
        <f>CLEAN("SAFETY - HIGH RISK RURAL ROADS                                                                      ")</f>
        <v xml:space="preserve">SAFETY - HIGH RISK RURAL ROADS                                                                      </v>
      </c>
    </row>
    <row r="731" spans="1:16" x14ac:dyDescent="0.25">
      <c r="A731" t="str">
        <f t="shared" si="219"/>
        <v>10</v>
      </c>
      <c r="B731" t="str">
        <f t="shared" si="220"/>
        <v>21</v>
      </c>
      <c r="C731" s="1">
        <v>45608</v>
      </c>
      <c r="D731" t="str">
        <f>CLEAN("5921-00-76")</f>
        <v>5921-00-76</v>
      </c>
      <c r="E731" t="str">
        <f>CLEAN("206  ")</f>
        <v xml:space="preserve">206  </v>
      </c>
      <c r="F731" t="str">
        <f>CLEAN("$500,000 - $749,999      ")</f>
        <v xml:space="preserve">$500,000 - $749,999      </v>
      </c>
      <c r="G731" t="str">
        <f>CLEAN("LET")</f>
        <v>LET</v>
      </c>
      <c r="H731" t="str">
        <f>CLEAN("LET CONSTRUCTION         ")</f>
        <v xml:space="preserve">LET CONSTRUCTION         </v>
      </c>
      <c r="I731" t="str">
        <f>CLEAN("CONST OPS/RECONSTRUCTION           ")</f>
        <v xml:space="preserve">CONST OPS/RECONSTRUCTION           </v>
      </c>
      <c r="J731" t="str">
        <f>CLEAN("CTH YD ")</f>
        <v xml:space="preserve">CTH YD </v>
      </c>
      <c r="K731" t="str">
        <f>CLEAN("IOWA                          ")</f>
        <v xml:space="preserve">IOWA                          </v>
      </c>
      <c r="L731" t="str">
        <f>CLEAN("MINERAL POINT - DODGEVILLE         ")</f>
        <v xml:space="preserve">MINERAL POINT - DODGEVILLE         </v>
      </c>
      <c r="M731" t="str">
        <f>CLEAN("STH 23 TO WEIDENFELLER ROAD        ")</f>
        <v xml:space="preserve">STH 23 TO WEIDENFELLER ROAD        </v>
      </c>
      <c r="N731">
        <v>0.3</v>
      </c>
      <c r="O731" t="str">
        <f t="shared" si="228"/>
        <v xml:space="preserve">          </v>
      </c>
      <c r="P73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732" spans="1:16" x14ac:dyDescent="0.25">
      <c r="A732" t="str">
        <f t="shared" si="219"/>
        <v>10</v>
      </c>
      <c r="B732" t="str">
        <f t="shared" si="220"/>
        <v>21</v>
      </c>
      <c r="C732" s="1">
        <v>45517</v>
      </c>
      <c r="D732" t="str">
        <f>CLEAN("5944-04-74")</f>
        <v>5944-04-74</v>
      </c>
      <c r="E732" t="str">
        <f>CLEAN("303  ")</f>
        <v xml:space="preserve">303  </v>
      </c>
      <c r="F732" t="str">
        <f>CLEAN("$1,000,000 - $1,999,999  ")</f>
        <v xml:space="preserve">$1,000,000 - $1,999,999  </v>
      </c>
      <c r="G732" t="str">
        <f>CLEAN("LET")</f>
        <v>LET</v>
      </c>
      <c r="H732" t="str">
        <f>CLEAN("LET CONSTRUCTION         ")</f>
        <v xml:space="preserve">LET CONSTRUCTION         </v>
      </c>
      <c r="I732" t="str">
        <f>CLEAN("CONST/ MILL AND OVERLAY            ")</f>
        <v xml:space="preserve">CONST/ MILL AND OVERLAY            </v>
      </c>
      <c r="J732" t="str">
        <f>CLEAN("STH 081")</f>
        <v>STH 081</v>
      </c>
      <c r="K732" t="str">
        <f>CLEAN("LAFAYETTE                     ")</f>
        <v xml:space="preserve">LAFAYETTE                     </v>
      </c>
      <c r="L732" t="str">
        <f>CLEAN("DARLINGTON - ARGYLE                ")</f>
        <v xml:space="preserve">DARLINGTON - ARGYLE                </v>
      </c>
      <c r="M732" t="str">
        <f>CLEAN("STH 23 TO WILDCAT ROAD             ")</f>
        <v xml:space="preserve">STH 23 TO WILDCAT ROAD             </v>
      </c>
      <c r="N732">
        <v>1.21</v>
      </c>
      <c r="O732" t="str">
        <f t="shared" si="228"/>
        <v xml:space="preserve">          </v>
      </c>
      <c r="P73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3" spans="1:16" x14ac:dyDescent="0.25">
      <c r="A733" t="str">
        <f t="shared" si="219"/>
        <v>10</v>
      </c>
      <c r="B733" t="str">
        <f t="shared" si="220"/>
        <v>21</v>
      </c>
      <c r="C733" s="1">
        <v>45407</v>
      </c>
      <c r="D733" t="str">
        <f>CLEAN("5952-03-24")</f>
        <v>5952-03-24</v>
      </c>
      <c r="E733" t="str">
        <f>CLEAN("303  ")</f>
        <v xml:space="preserve">303  </v>
      </c>
      <c r="F733" t="str">
        <f>CLEAN("$0 - $99,999             ")</f>
        <v xml:space="preserve">$0 - $99,999             </v>
      </c>
      <c r="G733" t="str">
        <f>CLEAN("R/E")</f>
        <v>R/E</v>
      </c>
      <c r="H733" t="str">
        <f>CLEAN("NONLET CONSTR/REAL ESTATE")</f>
        <v>NONLET CONSTR/REAL ESTATE</v>
      </c>
      <c r="I733" t="str">
        <f>CLEAN("DESIGN-ROW BRRPL/ 5952-03-84       ")</f>
        <v xml:space="preserve">DESIGN-ROW BRRPL/ 5952-03-84       </v>
      </c>
      <c r="J733" t="str">
        <f>CLEAN("STH 039")</f>
        <v>STH 039</v>
      </c>
      <c r="K733" t="str">
        <f>CLEAN("IOWA                          ")</f>
        <v xml:space="preserve">IOWA                          </v>
      </c>
      <c r="L733" t="str">
        <f>CLEAN("EDMUND - MINERAL POINT             ")</f>
        <v xml:space="preserve">EDMUND - MINERAL POINT             </v>
      </c>
      <c r="M733" t="str">
        <f>CLEAN("MINERAL POINT BRANCH BRIDGE        ")</f>
        <v xml:space="preserve">MINERAL POINT BRANCH BRIDGE        </v>
      </c>
      <c r="N733">
        <v>0.16600000000000001</v>
      </c>
      <c r="O733" t="str">
        <f t="shared" si="228"/>
        <v xml:space="preserve">          </v>
      </c>
      <c r="P7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4" spans="1:16" x14ac:dyDescent="0.25">
      <c r="A734" t="str">
        <f t="shared" si="219"/>
        <v>10</v>
      </c>
      <c r="B734" t="str">
        <f t="shared" si="220"/>
        <v>21</v>
      </c>
      <c r="C734" s="1">
        <v>45608</v>
      </c>
      <c r="D734" t="str">
        <f>CLEAN("5958-00-72")</f>
        <v>5958-00-72</v>
      </c>
      <c r="E734" t="str">
        <f>CLEAN("205  ")</f>
        <v xml:space="preserve">205  </v>
      </c>
      <c r="F734" t="str">
        <f>CLEAN("$250,000 - $499,999      ")</f>
        <v xml:space="preserve">$250,000 - $499,999      </v>
      </c>
      <c r="G734" t="str">
        <f>CLEAN("LET")</f>
        <v>LET</v>
      </c>
      <c r="H734" t="str">
        <f>CLEAN("LET CONSTRUCTION         ")</f>
        <v xml:space="preserve">LET CONSTRUCTION         </v>
      </c>
      <c r="I734" t="str">
        <f>CLEAN("CONST OPS/BRIDGE REHABILITATION    ")</f>
        <v xml:space="preserve">CONST OPS/BRIDGE REHABILITATION    </v>
      </c>
      <c r="J734" t="str">
        <f>CLEAN("CTH G  ")</f>
        <v xml:space="preserve">CTH G  </v>
      </c>
      <c r="K734" t="str">
        <f>CLEAN("IOWA                          ")</f>
        <v xml:space="preserve">IOWA                          </v>
      </c>
      <c r="L734" t="str">
        <f>CLEAN("CTH E - CTH X (CTH G)              ")</f>
        <v xml:space="preserve">CTH E - CTH X (CTH G)              </v>
      </c>
      <c r="M734" t="str">
        <f>CLEAN("PECATONICA RIVER BRIDGE B-25-0201  ")</f>
        <v xml:space="preserve">PECATONICA RIVER BRIDGE B-25-0201  </v>
      </c>
      <c r="N734">
        <v>0.01</v>
      </c>
      <c r="O734" t="str">
        <f t="shared" si="228"/>
        <v xml:space="preserve">          </v>
      </c>
      <c r="P73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35" spans="1:16" x14ac:dyDescent="0.25">
      <c r="A735" t="str">
        <f t="shared" si="219"/>
        <v>10</v>
      </c>
      <c r="B735" t="str">
        <f t="shared" ref="B735:B768" si="229">CLEAN("21")</f>
        <v>21</v>
      </c>
      <c r="C735" s="1">
        <v>45529</v>
      </c>
      <c r="D735" t="str">
        <f>CLEAN("5964-01-22")</f>
        <v>5964-01-22</v>
      </c>
      <c r="E735" t="str">
        <f>CLEAN("303  ")</f>
        <v xml:space="preserve">303  </v>
      </c>
      <c r="F735" t="str">
        <f>CLEAN("$0 - $99,999             ")</f>
        <v xml:space="preserve">$0 - $99,999             </v>
      </c>
      <c r="G735" t="str">
        <f>CLEAN("R/E")</f>
        <v>R/E</v>
      </c>
      <c r="H735" t="str">
        <f>CLEAN("NONLET CONSTR/REAL ESTATE")</f>
        <v>NONLET CONSTR/REAL ESTATE</v>
      </c>
      <c r="I735" t="str">
        <f>CLEAN("RE OPS/ 5964-01-72/ PVRPLA         ")</f>
        <v xml:space="preserve">RE OPS/ 5964-01-72/ PVRPLA         </v>
      </c>
      <c r="J735" t="str">
        <f>CLEAN("STH 133")</f>
        <v>STH 133</v>
      </c>
      <c r="K735" t="str">
        <f>CLEAN("GRANT                         ")</f>
        <v xml:space="preserve">GRANT                         </v>
      </c>
      <c r="L735" t="str">
        <f>CLEAN("CASSVILLE - PATCH GROVE            ")</f>
        <v xml:space="preserve">CASSVILLE - PATCH GROVE            </v>
      </c>
      <c r="M735" t="str">
        <f>CLEAN("FOREST LN TO FURNACE BRANCH BRIDGE ")</f>
        <v xml:space="preserve">FOREST LN TO FURNACE BRANCH BRIDGE </v>
      </c>
      <c r="N735">
        <v>1.409</v>
      </c>
      <c r="O735" t="str">
        <f t="shared" si="228"/>
        <v xml:space="preserve">          </v>
      </c>
      <c r="P7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6" spans="1:16" x14ac:dyDescent="0.25">
      <c r="A736" t="str">
        <f t="shared" si="219"/>
        <v>10</v>
      </c>
      <c r="B736" t="str">
        <f t="shared" si="229"/>
        <v>21</v>
      </c>
      <c r="C736" s="1">
        <v>45285</v>
      </c>
      <c r="D736" t="str">
        <f>CLEAN("5964-01-23")</f>
        <v>5964-01-23</v>
      </c>
      <c r="E736" t="str">
        <f>CLEAN("303  ")</f>
        <v xml:space="preserve">303  </v>
      </c>
      <c r="F736" t="str">
        <f>CLEAN("$0 - $99,999             ")</f>
        <v xml:space="preserve">$0 - $99,999             </v>
      </c>
      <c r="G736" t="str">
        <f>CLEAN("R/E")</f>
        <v>R/E</v>
      </c>
      <c r="H736" t="str">
        <f>CLEAN("NONLET CONSTR/REAL ESTATE")</f>
        <v>NONLET CONSTR/REAL ESTATE</v>
      </c>
      <c r="I736" t="str">
        <f>CLEAN("RE OPS/ 5964-01-73 / PVRPLA        ")</f>
        <v xml:space="preserve">RE OPS/ 5964-01-73 / PVRPLA        </v>
      </c>
      <c r="J736" t="str">
        <f>CLEAN("STH 133")</f>
        <v>STH 133</v>
      </c>
      <c r="K736" t="str">
        <f>CLEAN("GRANT                         ")</f>
        <v xml:space="preserve">GRANT                         </v>
      </c>
      <c r="L736" t="str">
        <f>CLEAN("CASSVILLE - PATCH GROVE            ")</f>
        <v xml:space="preserve">CASSVILLE - PATCH GROVE            </v>
      </c>
      <c r="M736" t="str">
        <f>CLEAN("FURNACE BRANCH BRIDGE TO STH 35    ")</f>
        <v xml:space="preserve">FURNACE BRANCH BRIDGE TO STH 35    </v>
      </c>
      <c r="N736">
        <v>13.792</v>
      </c>
      <c r="O736" t="str">
        <f t="shared" si="228"/>
        <v xml:space="preserve">          </v>
      </c>
      <c r="P7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7" spans="1:16" x14ac:dyDescent="0.25">
      <c r="A737" t="str">
        <f t="shared" si="219"/>
        <v>10</v>
      </c>
      <c r="B737" t="str">
        <f t="shared" si="229"/>
        <v>21</v>
      </c>
      <c r="C737" s="1">
        <v>45347</v>
      </c>
      <c r="D737" t="str">
        <f>CLEAN("5970-02-20")</f>
        <v>5970-02-20</v>
      </c>
      <c r="E737" t="str">
        <f>CLEAN("303  ")</f>
        <v xml:space="preserve">303  </v>
      </c>
      <c r="F737" t="str">
        <f>CLEAN("$0 - $99,999             ")</f>
        <v xml:space="preserve">$0 - $99,999             </v>
      </c>
      <c r="G737" t="str">
        <f>CLEAN("R/E")</f>
        <v>R/E</v>
      </c>
      <c r="H737" t="str">
        <f>CLEAN("NONLET CONSTR/REAL ESTATE")</f>
        <v>NONLET CONSTR/REAL ESTATE</v>
      </c>
      <c r="I737" t="str">
        <f>CLEAN("RE OPD FOR 5970-02-74              ")</f>
        <v xml:space="preserve">RE OPD FOR 5970-02-74              </v>
      </c>
      <c r="J737" t="str">
        <f>CLEAN("STH 039")</f>
        <v>STH 039</v>
      </c>
      <c r="K737" t="str">
        <f>CLEAN("GREEN                         ")</f>
        <v xml:space="preserve">GREEN                         </v>
      </c>
      <c r="L737" t="str">
        <f>CLEAN("HOLLANDALE - NEW GLARUS            ")</f>
        <v xml:space="preserve">HOLLANDALE - NEW GLARUS            </v>
      </c>
      <c r="M737" t="str">
        <f>CLEAN("CTH K TO 0.16MI E OF YORK CENTER RD")</f>
        <v>CTH K TO 0.16MI E OF YORK CENTER RD</v>
      </c>
      <c r="N737">
        <v>10.911</v>
      </c>
      <c r="O737" t="str">
        <f t="shared" si="228"/>
        <v xml:space="preserve">          </v>
      </c>
      <c r="P7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38" spans="1:16" x14ac:dyDescent="0.25">
      <c r="A738" t="str">
        <f t="shared" si="219"/>
        <v>10</v>
      </c>
      <c r="B738" t="str">
        <f t="shared" si="229"/>
        <v>21</v>
      </c>
      <c r="C738" s="1">
        <v>45517</v>
      </c>
      <c r="D738" t="str">
        <f>CLEAN("5976-00-76")</f>
        <v>5976-00-76</v>
      </c>
      <c r="E738" t="str">
        <f>CLEAN("205  ")</f>
        <v xml:space="preserve">205  </v>
      </c>
      <c r="F738" t="str">
        <f>CLEAN("$500,000 - $749,999      ")</f>
        <v xml:space="preserve">$500,000 - $749,999      </v>
      </c>
      <c r="G738" t="str">
        <f>CLEAN("LET")</f>
        <v>LET</v>
      </c>
      <c r="H738" t="str">
        <f>CLEAN("LET CONSTRUCTION         ")</f>
        <v xml:space="preserve">LET CONSTRUCTION         </v>
      </c>
      <c r="I738" t="str">
        <f>CLEAN("CONST/BRIDGE REPLACEMENT           ")</f>
        <v xml:space="preserve">CONST/BRIDGE REPLACEMENT           </v>
      </c>
      <c r="J738" t="str">
        <f>CLEAN("LOC STR")</f>
        <v>LOC STR</v>
      </c>
      <c r="K738" t="str">
        <f>CLEAN("SAUK                          ")</f>
        <v xml:space="preserve">SAUK                          </v>
      </c>
      <c r="L738" t="str">
        <f>CLEAN("T OF FREEDOM, DIAMOND HILL ROAD    ")</f>
        <v xml:space="preserve">T OF FREEDOM, DIAMOND HILL ROAD    </v>
      </c>
      <c r="M738" t="str">
        <f>CLEAN("SEELEY CREEK BRIDGE, B-56-0243     ")</f>
        <v xml:space="preserve">SEELEY CREEK BRIDGE, B-56-0243     </v>
      </c>
      <c r="N738">
        <v>0</v>
      </c>
      <c r="O738" t="str">
        <f t="shared" si="228"/>
        <v xml:space="preserve">          </v>
      </c>
      <c r="P73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39" spans="1:16" x14ac:dyDescent="0.25">
      <c r="A739" t="str">
        <f t="shared" si="219"/>
        <v>10</v>
      </c>
      <c r="B739" t="str">
        <f t="shared" si="229"/>
        <v>21</v>
      </c>
      <c r="C739" s="1">
        <v>45498</v>
      </c>
      <c r="D739" t="str">
        <f>CLEAN("5988-01-14")</f>
        <v>5988-01-14</v>
      </c>
      <c r="E739" t="str">
        <f t="shared" ref="E739:E746" si="230">CLEAN("206  ")</f>
        <v xml:space="preserve">206  </v>
      </c>
      <c r="F739" t="str">
        <f>CLEAN("$1,000,000 - $1,999,999  ")</f>
        <v xml:space="preserve">$1,000,000 - $1,999,999  </v>
      </c>
      <c r="G739" t="str">
        <f>CLEAN("LLC")</f>
        <v>LLC</v>
      </c>
      <c r="H739" t="str">
        <f>CLEAN("NONLET CONSTR/REAL ESTATE")</f>
        <v>NONLET CONSTR/REAL ESTATE</v>
      </c>
      <c r="I739" t="str">
        <f>CLEAN("CONST/CARBON RED-LED LIGHTING      ")</f>
        <v xml:space="preserve">CONST/CARBON RED-LED LIGHTING      </v>
      </c>
      <c r="J739" t="str">
        <f>CLEAN("VAR HWY")</f>
        <v>VAR HWY</v>
      </c>
      <c r="K739" t="str">
        <f>CLEAN("SAUK                          ")</f>
        <v xml:space="preserve">SAUK                          </v>
      </c>
      <c r="L739" t="str">
        <f>CLEAN("C BARABOO, LED STREET LIGHTS       ")</f>
        <v xml:space="preserve">C BARABOO, LED STREET LIGHTS       </v>
      </c>
      <c r="M739" t="str">
        <f>CLEAN("VARIOUS LOCATIONS - C BARABOO      ")</f>
        <v xml:space="preserve">VARIOUS LOCATIONS - C BARABOO      </v>
      </c>
      <c r="N739">
        <v>0</v>
      </c>
      <c r="O739" t="str">
        <f t="shared" si="228"/>
        <v xml:space="preserve">          </v>
      </c>
      <c r="P739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40" spans="1:16" x14ac:dyDescent="0.25">
      <c r="A740" t="str">
        <f t="shared" si="219"/>
        <v>10</v>
      </c>
      <c r="B740" t="str">
        <f t="shared" si="229"/>
        <v>21</v>
      </c>
      <c r="C740" s="1">
        <v>45316</v>
      </c>
      <c r="D740" t="str">
        <f>CLEAN("5989-00-04")</f>
        <v>5989-00-04</v>
      </c>
      <c r="E740" t="str">
        <f t="shared" si="230"/>
        <v xml:space="preserve">206  </v>
      </c>
      <c r="F740" t="str">
        <f>CLEAN("$250,000 - $499,999      ")</f>
        <v xml:space="preserve">$250,000 - $499,999      </v>
      </c>
      <c r="G740" t="str">
        <f>CLEAN("MIS")</f>
        <v>MIS</v>
      </c>
      <c r="H740" t="str">
        <f>CLEAN("NONLET CONSTR/REAL ESTATE")</f>
        <v>NONLET CONSTR/REAL ESTATE</v>
      </c>
      <c r="I740" t="str">
        <f>CLEAN("CONST/CARBON RED-LED LIGHTING      ")</f>
        <v xml:space="preserve">CONST/CARBON RED-LED LIGHTING      </v>
      </c>
      <c r="J740" t="str">
        <f>CLEAN("VAR HWY")</f>
        <v>VAR HWY</v>
      </c>
      <c r="K740" t="str">
        <f t="shared" ref="K740:K747" si="231">CLEAN("ROCK                          ")</f>
        <v xml:space="preserve">ROCK                          </v>
      </c>
      <c r="L740" t="str">
        <f>CLEAN("C BELOIT, LED STREET LIGHTS        ")</f>
        <v xml:space="preserve">C BELOIT, LED STREET LIGHTS        </v>
      </c>
      <c r="M740" t="str">
        <f>CLEAN("VARIOUS LOCATIONS - C BELOIT       ")</f>
        <v xml:space="preserve">VARIOUS LOCATIONS - C BELOIT       </v>
      </c>
      <c r="N740">
        <v>0</v>
      </c>
      <c r="O740" t="str">
        <f t="shared" si="228"/>
        <v xml:space="preserve">          </v>
      </c>
      <c r="P740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41" spans="1:16" x14ac:dyDescent="0.25">
      <c r="A741" t="str">
        <f t="shared" si="219"/>
        <v>10</v>
      </c>
      <c r="B741" t="str">
        <f t="shared" si="229"/>
        <v>21</v>
      </c>
      <c r="C741" s="1">
        <v>45517</v>
      </c>
      <c r="D741" t="str">
        <f>CLEAN("5989-03-05")</f>
        <v>5989-03-05</v>
      </c>
      <c r="E741" t="str">
        <f t="shared" si="230"/>
        <v xml:space="preserve">206  </v>
      </c>
      <c r="F741" t="str">
        <f>CLEAN("$100,000-$249,999        ")</f>
        <v xml:space="preserve">$100,000-$249,999        </v>
      </c>
      <c r="G741" t="str">
        <f>CLEAN("LET")</f>
        <v>LET</v>
      </c>
      <c r="H741" t="str">
        <f>CLEAN("LET CONSTRUCTION         ")</f>
        <v xml:space="preserve">LET CONSTRUCTION         </v>
      </c>
      <c r="I741" t="str">
        <f>CLEAN("PEDESTRIAN/BICYCLE PATH            ")</f>
        <v xml:space="preserve">PEDESTRIAN/BICYCLE PATH            </v>
      </c>
      <c r="J741" t="str">
        <f>CLEAN("NON HWY")</f>
        <v>NON HWY</v>
      </c>
      <c r="K741" t="str">
        <f t="shared" si="231"/>
        <v xml:space="preserve">ROCK                          </v>
      </c>
      <c r="L741" t="str">
        <f>CLEAN("LEE LANE SIDEPATH - MULTI-USE PATH ")</f>
        <v xml:space="preserve">LEE LANE SIDEPATH - MULTI-USE PATH </v>
      </c>
      <c r="M741" t="str">
        <f>CLEAN("CRANSTON ROAD TO MILWAUKEE STREET  ")</f>
        <v xml:space="preserve">CRANSTON ROAD TO MILWAUKEE STREET  </v>
      </c>
      <c r="N741">
        <v>0.09</v>
      </c>
      <c r="O741" t="str">
        <f t="shared" si="228"/>
        <v xml:space="preserve">          </v>
      </c>
      <c r="P741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42" spans="1:16" x14ac:dyDescent="0.25">
      <c r="A742" t="str">
        <f t="shared" si="219"/>
        <v>10</v>
      </c>
      <c r="B742" t="str">
        <f t="shared" si="229"/>
        <v>21</v>
      </c>
      <c r="C742" s="1">
        <v>45517</v>
      </c>
      <c r="D742" t="str">
        <f>CLEAN("5989-03-11")</f>
        <v>5989-03-11</v>
      </c>
      <c r="E742" t="str">
        <f t="shared" si="230"/>
        <v xml:space="preserve">206  </v>
      </c>
      <c r="F742" t="str">
        <f>CLEAN("$1,000,000 - $1,999,999  ")</f>
        <v xml:space="preserve">$1,000,000 - $1,999,999  </v>
      </c>
      <c r="G742" t="str">
        <f>CLEAN("LET")</f>
        <v>LET</v>
      </c>
      <c r="H742" t="str">
        <f>CLEAN("LET CONSTRUCTION         ")</f>
        <v xml:space="preserve">LET CONSTRUCTION         </v>
      </c>
      <c r="I742" t="str">
        <f>CLEAN("CONST OPS/PRAVEMENT REPLACEMENT    ")</f>
        <v xml:space="preserve">CONST OPS/PRAVEMENT REPLACEMENT    </v>
      </c>
      <c r="J742" t="str">
        <f>CLEAN("LOC STR")</f>
        <v>LOC STR</v>
      </c>
      <c r="K742" t="str">
        <f t="shared" si="231"/>
        <v xml:space="preserve">ROCK                          </v>
      </c>
      <c r="L742" t="str">
        <f>CLEAN("CITY OF BELOIT, CRANSTON ROAD      ")</f>
        <v xml:space="preserve">CITY OF BELOIT, CRANSTON ROAD      </v>
      </c>
      <c r="M742" t="str">
        <f>CLEAN("PRAIRIE AVENUE TO W COLLINGSWOOD DR")</f>
        <v>PRAIRIE AVENUE TO W COLLINGSWOOD DR</v>
      </c>
      <c r="N742">
        <v>1.1399999999999999</v>
      </c>
      <c r="O742" t="str">
        <f t="shared" si="228"/>
        <v xml:space="preserve">          </v>
      </c>
      <c r="P742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43" spans="1:16" x14ac:dyDescent="0.25">
      <c r="A743" t="str">
        <f t="shared" si="219"/>
        <v>10</v>
      </c>
      <c r="B743" t="str">
        <f t="shared" si="229"/>
        <v>21</v>
      </c>
      <c r="C743" s="1">
        <v>45608</v>
      </c>
      <c r="D743" t="str">
        <f>CLEAN("5990-01-34")</f>
        <v>5990-01-34</v>
      </c>
      <c r="E743" t="str">
        <f t="shared" si="230"/>
        <v xml:space="preserve">206  </v>
      </c>
      <c r="F743" t="str">
        <f>CLEAN("$1,000,000 - $1,999,999  ")</f>
        <v xml:space="preserve">$1,000,000 - $1,999,999  </v>
      </c>
      <c r="G743" t="str">
        <f>CLEAN("LET")</f>
        <v>LET</v>
      </c>
      <c r="H743" t="str">
        <f>CLEAN("LET CONSTRUCTION         ")</f>
        <v xml:space="preserve">LET CONSTRUCTION         </v>
      </c>
      <c r="I743" t="str">
        <f>CLEAN("CONST/CONVERT TO TWLTL             ")</f>
        <v xml:space="preserve">CONST/CONVERT TO TWLTL             </v>
      </c>
      <c r="J743" t="str">
        <f>CLEAN("LOC STR")</f>
        <v>LOC STR</v>
      </c>
      <c r="K743" t="str">
        <f t="shared" si="231"/>
        <v xml:space="preserve">ROCK                          </v>
      </c>
      <c r="L743" t="str">
        <f>CLEAN("C JANESVILLE, W COURT STREET       ")</f>
        <v xml:space="preserve">C JANESVILLE, W COURT STREET       </v>
      </c>
      <c r="M743" t="str">
        <f>CLEAN("WAVELAND ROAD TO PEARL STREET      ")</f>
        <v xml:space="preserve">WAVELAND ROAD TO PEARL STREET      </v>
      </c>
      <c r="N743">
        <v>1.44</v>
      </c>
      <c r="O743" t="str">
        <f>CLEAN("5990-01-37")</f>
        <v>5990-01-37</v>
      </c>
      <c r="P74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44" spans="1:16" x14ac:dyDescent="0.25">
      <c r="A744" t="str">
        <f t="shared" si="219"/>
        <v>10</v>
      </c>
      <c r="B744" t="str">
        <f t="shared" si="229"/>
        <v>21</v>
      </c>
      <c r="C744" s="1">
        <v>45608</v>
      </c>
      <c r="D744" t="str">
        <f>CLEAN("5990-01-36")</f>
        <v>5990-01-36</v>
      </c>
      <c r="E744" t="str">
        <f t="shared" si="230"/>
        <v xml:space="preserve">206  </v>
      </c>
      <c r="F744" t="str">
        <f>CLEAN("$1,000,000 - $1,999,999  ")</f>
        <v xml:space="preserve">$1,000,000 - $1,999,999  </v>
      </c>
      <c r="G744" t="str">
        <f>CLEAN("LET")</f>
        <v>LET</v>
      </c>
      <c r="H744" t="str">
        <f>CLEAN("LET CONSTRUCTION         ")</f>
        <v xml:space="preserve">LET CONSTRUCTION         </v>
      </c>
      <c r="I744" t="str">
        <f>CLEAN("CONST/TURN LANES/MONOTUBES         ")</f>
        <v xml:space="preserve">CONST/TURN LANES/MONOTUBES         </v>
      </c>
      <c r="J744" t="str">
        <f>CLEAN("LOC STR")</f>
        <v>LOC STR</v>
      </c>
      <c r="K744" t="str">
        <f t="shared" si="231"/>
        <v xml:space="preserve">ROCK                          </v>
      </c>
      <c r="L744" t="str">
        <f>CLEAN("C JANESVILLE, W COURT ST INTERSCTNS")</f>
        <v>C JANESVILLE, W COURT ST INTERSCTNS</v>
      </c>
      <c r="M744" t="str">
        <f>CLEAN("N CROSBY AV; N ARCH ST; N PEARL ST ")</f>
        <v xml:space="preserve">N CROSBY AV; N ARCH ST; N PEARL ST </v>
      </c>
      <c r="N744">
        <v>0.29199999999999998</v>
      </c>
      <c r="O744" t="str">
        <f>CLEAN("          ")</f>
        <v xml:space="preserve">          </v>
      </c>
      <c r="P74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45" spans="1:16" x14ac:dyDescent="0.25">
      <c r="A745" t="str">
        <f t="shared" si="219"/>
        <v>10</v>
      </c>
      <c r="B745" t="str">
        <f t="shared" si="229"/>
        <v>21</v>
      </c>
      <c r="C745" s="1">
        <v>45608</v>
      </c>
      <c r="D745" t="str">
        <f>CLEAN("5990-01-37")</f>
        <v>5990-01-37</v>
      </c>
      <c r="E745" t="str">
        <f t="shared" si="230"/>
        <v xml:space="preserve">206  </v>
      </c>
      <c r="F745" t="str">
        <f>CLEAN("$3,000,000 - $3,999,999  ")</f>
        <v xml:space="preserve">$3,000,000 - $3,999,999  </v>
      </c>
      <c r="G745" t="str">
        <f>CLEAN("LET")</f>
        <v>LET</v>
      </c>
      <c r="H745" t="str">
        <f>CLEAN("LET CONSTRUCTION         ")</f>
        <v xml:space="preserve">LET CONSTRUCTION         </v>
      </c>
      <c r="I745" t="str">
        <f>CLEAN("CONST/LOCAL PAVEMENT AND WATER MAIN")</f>
        <v>CONST/LOCAL PAVEMENT AND WATER MAIN</v>
      </c>
      <c r="J745" t="str">
        <f>CLEAN("LOC STR")</f>
        <v>LOC STR</v>
      </c>
      <c r="K745" t="str">
        <f t="shared" si="231"/>
        <v xml:space="preserve">ROCK                          </v>
      </c>
      <c r="L745" t="str">
        <f>CLEAN("C JANESVILLE, W COURT STREET       ")</f>
        <v xml:space="preserve">C JANESVILLE, W COURT STREET       </v>
      </c>
      <c r="M745" t="str">
        <f>CLEAN("CROSBY AVENUE TO WASHINGTON STREET ")</f>
        <v xml:space="preserve">CROSBY AVENUE TO WASHINGTON STREET </v>
      </c>
      <c r="N745">
        <v>1.06</v>
      </c>
      <c r="O745" t="str">
        <f>CLEAN("5990-01-34")</f>
        <v>5990-01-34</v>
      </c>
      <c r="P745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46" spans="1:16" x14ac:dyDescent="0.25">
      <c r="A746" t="str">
        <f t="shared" si="219"/>
        <v>10</v>
      </c>
      <c r="B746" t="str">
        <f t="shared" si="229"/>
        <v>21</v>
      </c>
      <c r="C746" s="1">
        <v>45316</v>
      </c>
      <c r="D746" t="str">
        <f>CLEAN("5990-02-29")</f>
        <v>5990-02-29</v>
      </c>
      <c r="E746" t="str">
        <f t="shared" si="230"/>
        <v xml:space="preserve">206  </v>
      </c>
      <c r="F746" t="str">
        <f>CLEAN("$100,000-$249,999        ")</f>
        <v xml:space="preserve">$100,000-$249,999        </v>
      </c>
      <c r="G746" t="str">
        <f>CLEAN("MIS")</f>
        <v>MIS</v>
      </c>
      <c r="H746" t="str">
        <f>CLEAN("NONLET CONSTR/REAL ESTATE")</f>
        <v>NONLET CONSTR/REAL ESTATE</v>
      </c>
      <c r="I746" t="str">
        <f>CLEAN("CONST/CARBON RED-LED LIGHTING      ")</f>
        <v xml:space="preserve">CONST/CARBON RED-LED LIGHTING      </v>
      </c>
      <c r="J746" t="str">
        <f>CLEAN("VAR HWY")</f>
        <v>VAR HWY</v>
      </c>
      <c r="K746" t="str">
        <f t="shared" si="231"/>
        <v xml:space="preserve">ROCK                          </v>
      </c>
      <c r="L746" t="str">
        <f>CLEAN("C JANESVILLE, LED STREET LIGHTS    ")</f>
        <v xml:space="preserve">C JANESVILLE, LED STREET LIGHTS    </v>
      </c>
      <c r="M746" t="str">
        <f>CLEAN("VARIOUS LOCATIONS - C JANESVILLE   ")</f>
        <v xml:space="preserve">VARIOUS LOCATIONS - C JANESVILLE   </v>
      </c>
      <c r="N746">
        <v>0</v>
      </c>
      <c r="O746" t="str">
        <f t="shared" ref="O746:O753" si="232">CLEAN("          ")</f>
        <v xml:space="preserve">          </v>
      </c>
      <c r="P746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747" spans="1:16" x14ac:dyDescent="0.25">
      <c r="A747" t="str">
        <f t="shared" si="219"/>
        <v>10</v>
      </c>
      <c r="B747" t="str">
        <f t="shared" si="229"/>
        <v>21</v>
      </c>
      <c r="C747" s="1">
        <v>45621</v>
      </c>
      <c r="D747" t="str">
        <f>CLEAN("5990-03-15")</f>
        <v>5990-03-15</v>
      </c>
      <c r="E747" t="str">
        <f>CLEAN("290  ")</f>
        <v xml:space="preserve">290  </v>
      </c>
      <c r="F747" t="str">
        <f>CLEAN("$500,000 - $749,999      ")</f>
        <v xml:space="preserve">$500,000 - $749,999      </v>
      </c>
      <c r="G747" t="str">
        <f>CLEAN("LLC")</f>
        <v>LLC</v>
      </c>
      <c r="H747" t="str">
        <f>CLEAN("NONLET CONSTR/REAL ESTATE")</f>
        <v>NONLET CONSTR/REAL ESTATE</v>
      </c>
      <c r="I747" t="str">
        <f>CLEAN("PEDESTRIAN/BICYCLE MULTI-USE TRAIL ")</f>
        <v xml:space="preserve">PEDESTRIAN/BICYCLE MULTI-USE TRAIL </v>
      </c>
      <c r="J747" t="str">
        <f>CLEAN("NON HWY")</f>
        <v>NON HWY</v>
      </c>
      <c r="K747" t="str">
        <f t="shared" si="231"/>
        <v xml:space="preserve">ROCK                          </v>
      </c>
      <c r="L747" t="str">
        <f>CLEAN("C JANESVILLE, FISHER CREEK TRAIL   ")</f>
        <v xml:space="preserve">C JANESVILLE, FISHER CREEK TRAIL   </v>
      </c>
      <c r="M747" t="str">
        <f>CLEAN("W. COURT STREET TO DARTMOUTH DRIVE ")</f>
        <v xml:space="preserve">W. COURT STREET TO DARTMOUTH DRIVE </v>
      </c>
      <c r="N747">
        <v>0.2</v>
      </c>
      <c r="O747" t="str">
        <f t="shared" si="232"/>
        <v xml:space="preserve">          </v>
      </c>
      <c r="P747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748" spans="1:16" x14ac:dyDescent="0.25">
      <c r="A748" t="str">
        <f t="shared" si="219"/>
        <v>10</v>
      </c>
      <c r="B748" t="str">
        <f t="shared" si="229"/>
        <v>21</v>
      </c>
      <c r="C748" s="1">
        <v>45545</v>
      </c>
      <c r="D748" t="str">
        <f>CLEAN("5991-00-22")</f>
        <v>5991-00-22</v>
      </c>
      <c r="E748" t="str">
        <f>CLEAN("206  ")</f>
        <v xml:space="preserve">206  </v>
      </c>
      <c r="F748" t="str">
        <f>CLEAN("$250,000 - $499,999      ")</f>
        <v xml:space="preserve">$250,000 - $499,999      </v>
      </c>
      <c r="G748" t="str">
        <f>CLEAN("LET")</f>
        <v>LET</v>
      </c>
      <c r="H748" t="str">
        <f>CLEAN("LET CONSTRUCTION         ")</f>
        <v xml:space="preserve">LET CONSTRUCTION         </v>
      </c>
      <c r="I748" t="str">
        <f>CLEAN("CONST OPS/RESURFACE                ")</f>
        <v xml:space="preserve">CONST OPS/RESURFACE                </v>
      </c>
      <c r="J748" t="str">
        <f>CLEAN("LOC STR")</f>
        <v>LOC STR</v>
      </c>
      <c r="K748" t="str">
        <f t="shared" ref="K748:K755" si="233">CLEAN("LA CROSSE                     ")</f>
        <v xml:space="preserve">LA CROSSE                     </v>
      </c>
      <c r="L748" t="str">
        <f>CLEAN("V WEST SALEM, CITY LOOP DRIVE      ")</f>
        <v xml:space="preserve">V WEST SALEM, CITY LOOP DRIVE      </v>
      </c>
      <c r="M748" t="str">
        <f>CLEAN("E JEFFERSON STREET TO NESHONOC RD  ")</f>
        <v xml:space="preserve">E JEFFERSON STREET TO NESHONOC RD  </v>
      </c>
      <c r="N748">
        <v>0.16</v>
      </c>
      <c r="O748" t="str">
        <f t="shared" si="232"/>
        <v xml:space="preserve">          </v>
      </c>
      <c r="P748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49" spans="1:16" x14ac:dyDescent="0.25">
      <c r="A749" t="str">
        <f t="shared" si="219"/>
        <v>10</v>
      </c>
      <c r="B749" t="str">
        <f t="shared" si="229"/>
        <v>21</v>
      </c>
      <c r="C749" s="1">
        <v>45391</v>
      </c>
      <c r="D749" t="str">
        <f>CLEAN("5991-02-68")</f>
        <v>5991-02-68</v>
      </c>
      <c r="E749" t="str">
        <f>CLEAN("206  ")</f>
        <v xml:space="preserve">206  </v>
      </c>
      <c r="F749" t="str">
        <f>CLEAN("$1,000,000 - $1,999,999  ")</f>
        <v xml:space="preserve">$1,000,000 - $1,999,999  </v>
      </c>
      <c r="G749" t="str">
        <f>CLEAN("LET")</f>
        <v>LET</v>
      </c>
      <c r="H749" t="str">
        <f>CLEAN("LET CONSTRUCTION         ")</f>
        <v xml:space="preserve">LET CONSTRUCTION         </v>
      </c>
      <c r="I749" t="str">
        <f>CLEAN("CONST OPS/RECONSTRUCTION           ")</f>
        <v xml:space="preserve">CONST OPS/RECONSTRUCTION           </v>
      </c>
      <c r="J749" t="str">
        <f>CLEAN("LOC STR")</f>
        <v>LOC STR</v>
      </c>
      <c r="K749" t="str">
        <f t="shared" si="233"/>
        <v xml:space="preserve">LA CROSSE                     </v>
      </c>
      <c r="L749" t="str">
        <f>CLEAN("CITY OF ONALASKA, MIDWEST DRIVE    ")</f>
        <v xml:space="preserve">CITY OF ONALASKA, MIDWEST DRIVE    </v>
      </c>
      <c r="M749" t="str">
        <f>CLEAN("THEATER ROAD TO E MAIN STREET      ")</f>
        <v xml:space="preserve">THEATER ROAD TO E MAIN STREET      </v>
      </c>
      <c r="N749">
        <v>0.53700000000000003</v>
      </c>
      <c r="O749" t="str">
        <f t="shared" si="232"/>
        <v xml:space="preserve">          </v>
      </c>
      <c r="P749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50" spans="1:16" x14ac:dyDescent="0.25">
      <c r="A750" t="str">
        <f t="shared" si="219"/>
        <v>10</v>
      </c>
      <c r="B750" t="str">
        <f t="shared" si="229"/>
        <v>21</v>
      </c>
      <c r="C750" s="1">
        <v>45517</v>
      </c>
      <c r="D750" t="str">
        <f>CLEAN("5991-02-71")</f>
        <v>5991-02-71</v>
      </c>
      <c r="E750" t="str">
        <f>CLEAN("206  ")</f>
        <v xml:space="preserve">206  </v>
      </c>
      <c r="F750" t="str">
        <f>CLEAN("$250,000 - $499,999      ")</f>
        <v xml:space="preserve">$250,000 - $499,999      </v>
      </c>
      <c r="G750" t="str">
        <f>CLEAN("LET")</f>
        <v>LET</v>
      </c>
      <c r="H750" t="str">
        <f>CLEAN("LET CONSTRUCTION         ")</f>
        <v xml:space="preserve">LET CONSTRUCTION         </v>
      </c>
      <c r="I750" t="str">
        <f>CLEAN("CONST OPS/PAVEMENT RESURFACING     ")</f>
        <v xml:space="preserve">CONST OPS/PAVEMENT RESURFACING     </v>
      </c>
      <c r="J750" t="str">
        <f>CLEAN("LOC STR")</f>
        <v>LOC STR</v>
      </c>
      <c r="K750" t="str">
        <f t="shared" si="233"/>
        <v xml:space="preserve">LA CROSSE                     </v>
      </c>
      <c r="L750" t="str">
        <f>CLEAN("CITY OF ONALASKA, THEATER ROAD     ")</f>
        <v xml:space="preserve">CITY OF ONALASKA, THEATER ROAD     </v>
      </c>
      <c r="M750" t="str">
        <f>CLEAN("CTH OS TO MIDWEST DRIVE            ")</f>
        <v xml:space="preserve">CTH OS TO MIDWEST DRIVE            </v>
      </c>
      <c r="N750">
        <v>0.17</v>
      </c>
      <c r="O750" t="str">
        <f t="shared" si="232"/>
        <v xml:space="preserve">          </v>
      </c>
      <c r="P750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51" spans="1:16" x14ac:dyDescent="0.25">
      <c r="A751" t="str">
        <f t="shared" si="219"/>
        <v>10</v>
      </c>
      <c r="B751" t="str">
        <f t="shared" si="229"/>
        <v>21</v>
      </c>
      <c r="C751" s="1">
        <v>45468</v>
      </c>
      <c r="D751" t="str">
        <f>CLEAN("5991-05-52")</f>
        <v>5991-05-52</v>
      </c>
      <c r="E751" t="str">
        <f>CLEAN("207  ")</f>
        <v xml:space="preserve">207  </v>
      </c>
      <c r="F751" t="str">
        <f>CLEAN("$250,000 - $499,999      ")</f>
        <v xml:space="preserve">$250,000 - $499,999      </v>
      </c>
      <c r="G751" t="str">
        <f>CLEAN("R/R")</f>
        <v>R/R</v>
      </c>
      <c r="H751" t="str">
        <f>CLEAN("NONLET CONSTR/REAL ESTATE")</f>
        <v>NONLET CONSTR/REAL ESTATE</v>
      </c>
      <c r="I751" t="str">
        <f>CLEAN("RR OP/REPL SIGNAL,BNGLW,CIRC'T/MISC")</f>
        <v>RR OP/REPL SIGNAL,BNGLW,CIRC'T/MISC</v>
      </c>
      <c r="J751" t="str">
        <f>CLEAN("LOC STR")</f>
        <v>LOC STR</v>
      </c>
      <c r="K751" t="str">
        <f t="shared" si="233"/>
        <v xml:space="preserve">LA CROSSE                     </v>
      </c>
      <c r="L751" t="str">
        <f>CLEAN("T OF SHELBY, LOSEY BOULEVARD       ")</f>
        <v xml:space="preserve">T OF SHELBY, LOSEY BOULEVARD       </v>
      </c>
      <c r="M751" t="str">
        <f>CLEAN("BNSF RR XING 079827S               ")</f>
        <v xml:space="preserve">BNSF RR XING 079827S               </v>
      </c>
      <c r="N751">
        <v>1.0999999999999999E-2</v>
      </c>
      <c r="O751" t="str">
        <f t="shared" si="232"/>
        <v xml:space="preserve">          </v>
      </c>
      <c r="P751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752" spans="1:16" x14ac:dyDescent="0.25">
      <c r="A752" t="str">
        <f t="shared" si="219"/>
        <v>10</v>
      </c>
      <c r="B752" t="str">
        <f t="shared" si="229"/>
        <v>21</v>
      </c>
      <c r="C752" s="1">
        <v>45621</v>
      </c>
      <c r="D752" t="str">
        <f>CLEAN("5991-06-73")</f>
        <v>5991-06-73</v>
      </c>
      <c r="E752" t="str">
        <f>CLEAN("290  ")</f>
        <v xml:space="preserve">290  </v>
      </c>
      <c r="F752" t="str">
        <f>CLEAN("$250,000 - $499,999      ")</f>
        <v xml:space="preserve">$250,000 - $499,999      </v>
      </c>
      <c r="G752" t="str">
        <f>CLEAN("LLC")</f>
        <v>LLC</v>
      </c>
      <c r="H752" t="str">
        <f>CLEAN("NONLET CONSTR/REAL ESTATE")</f>
        <v>NONLET CONSTR/REAL ESTATE</v>
      </c>
      <c r="I752" t="str">
        <f>CLEAN("PEDESTRAIN/BICYCLE MULTI-USE PATH  ")</f>
        <v xml:space="preserve">PEDESTRAIN/BICYCLE MULTI-USE PATH  </v>
      </c>
      <c r="J752" t="str">
        <f>CLEAN("NON HWY")</f>
        <v>NON HWY</v>
      </c>
      <c r="K752" t="str">
        <f t="shared" si="233"/>
        <v xml:space="preserve">LA CROSSE                     </v>
      </c>
      <c r="L752" t="str">
        <f>CLEAN("T SHELBY, GOOSE ISLAND TRAIL       ")</f>
        <v xml:space="preserve">T SHELBY, GOOSE ISLAND TRAIL       </v>
      </c>
      <c r="M752" t="str">
        <f>CLEAN("CTH GI TO SUNNYSIDE DRIVE          ")</f>
        <v xml:space="preserve">CTH GI TO SUNNYSIDE DRIVE          </v>
      </c>
      <c r="N752">
        <v>0.17</v>
      </c>
      <c r="O752" t="str">
        <f t="shared" si="232"/>
        <v xml:space="preserve">          </v>
      </c>
      <c r="P752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753" spans="1:16" x14ac:dyDescent="0.25">
      <c r="A753" t="str">
        <f t="shared" si="219"/>
        <v>10</v>
      </c>
      <c r="B753" t="str">
        <f t="shared" si="229"/>
        <v>21</v>
      </c>
      <c r="C753" s="1">
        <v>45407</v>
      </c>
      <c r="D753" t="str">
        <f>CLEAN("5991-07-66")</f>
        <v>5991-07-66</v>
      </c>
      <c r="E753" t="str">
        <f>CLEAN("290  ")</f>
        <v xml:space="preserve">290  </v>
      </c>
      <c r="F753" t="str">
        <f>CLEAN("$750,000 - $999,999      ")</f>
        <v xml:space="preserve">$750,000 - $999,999      </v>
      </c>
      <c r="G753" t="str">
        <f>CLEAN("LLC")</f>
        <v>LLC</v>
      </c>
      <c r="H753" t="str">
        <f>CLEAN("NONLET CONSTR/REAL ESTATE")</f>
        <v>NONLET CONSTR/REAL ESTATE</v>
      </c>
      <c r="I753" t="str">
        <f>CLEAN("PEDESTRAIN/BICYLCE MULTI-USE TRAIL ")</f>
        <v xml:space="preserve">PEDESTRAIN/BICYLCE MULTI-USE TRAIL </v>
      </c>
      <c r="J753" t="str">
        <f>CLEAN("NON HWY")</f>
        <v>NON HWY</v>
      </c>
      <c r="K753" t="str">
        <f t="shared" si="233"/>
        <v xml:space="preserve">LA CROSSE                     </v>
      </c>
      <c r="L753" t="str">
        <f>CLEAN("C LA CROSSE, GRAND CROSSING TRAIL  ")</f>
        <v xml:space="preserve">C LA CROSSE, GRAND CROSSING TRAIL  </v>
      </c>
      <c r="M753" t="str">
        <f>CLEAN("MYRICK PARK DR TO SAINT JAMES ST   ")</f>
        <v xml:space="preserve">MYRICK PARK DR TO SAINT JAMES ST   </v>
      </c>
      <c r="N753">
        <v>0.26</v>
      </c>
      <c r="O753" t="str">
        <f t="shared" si="232"/>
        <v xml:space="preserve">          </v>
      </c>
      <c r="P753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754" spans="1:16" x14ac:dyDescent="0.25">
      <c r="A754" t="str">
        <f t="shared" si="219"/>
        <v>10</v>
      </c>
      <c r="B754" t="str">
        <f t="shared" si="229"/>
        <v>21</v>
      </c>
      <c r="C754" s="1">
        <v>45608</v>
      </c>
      <c r="D754" t="str">
        <f>CLEAN("5991-07-78")</f>
        <v>5991-07-78</v>
      </c>
      <c r="E754" t="str">
        <f t="shared" ref="E754:E759" si="234">CLEAN("206  ")</f>
        <v xml:space="preserve">206  </v>
      </c>
      <c r="F754" t="str">
        <f>CLEAN("$1,000,000 - $1,999,999  ")</f>
        <v xml:space="preserve">$1,000,000 - $1,999,999  </v>
      </c>
      <c r="G754" t="str">
        <f>CLEAN("LET")</f>
        <v>LET</v>
      </c>
      <c r="H754" t="str">
        <f>CLEAN("LET CONSTRUCTION         ")</f>
        <v xml:space="preserve">LET CONSTRUCTION         </v>
      </c>
      <c r="I754" t="str">
        <f>CLEAN("CONST OPS/RECONSTRUCTION           ")</f>
        <v xml:space="preserve">CONST OPS/RECONSTRUCTION           </v>
      </c>
      <c r="J754" t="str">
        <f>CLEAN("LOC STR")</f>
        <v>LOC STR</v>
      </c>
      <c r="K754" t="str">
        <f t="shared" si="233"/>
        <v xml:space="preserve">LA CROSSE                     </v>
      </c>
      <c r="L754" t="str">
        <f>CLEAN("CITY OF LA CROSSE, GREEN BAY STREET")</f>
        <v>CITY OF LA CROSSE, GREEN BAY STREET</v>
      </c>
      <c r="M754" t="str">
        <f>CLEAN("22ND STREET SOUTH TO LOSEY BLVD    ")</f>
        <v xml:space="preserve">22ND STREET SOUTH TO LOSEY BLVD    </v>
      </c>
      <c r="N754">
        <v>0.16</v>
      </c>
      <c r="O754" t="str">
        <f>CLEAN("5991-07-79")</f>
        <v>5991-07-79</v>
      </c>
      <c r="P754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55" spans="1:16" x14ac:dyDescent="0.25">
      <c r="A755" t="str">
        <f t="shared" si="219"/>
        <v>10</v>
      </c>
      <c r="B755" t="str">
        <f t="shared" si="229"/>
        <v>21</v>
      </c>
      <c r="C755" s="1">
        <v>45608</v>
      </c>
      <c r="D755" t="str">
        <f>CLEAN("5991-07-79")</f>
        <v>5991-07-79</v>
      </c>
      <c r="E755" t="str">
        <f t="shared" si="234"/>
        <v xml:space="preserve">206  </v>
      </c>
      <c r="F755" t="str">
        <f>CLEAN("$100,000-$249,999        ")</f>
        <v xml:space="preserve">$100,000-$249,999        </v>
      </c>
      <c r="G755" t="str">
        <f>CLEAN("LET")</f>
        <v>LET</v>
      </c>
      <c r="H755" t="str">
        <f>CLEAN("LET CONSTRUCTION         ")</f>
        <v xml:space="preserve">LET CONSTRUCTION         </v>
      </c>
      <c r="I755" t="str">
        <f>CLEAN("UTL OPS/SANITARY SEWER - WATER MAIN")</f>
        <v>UTL OPS/SANITARY SEWER - WATER MAIN</v>
      </c>
      <c r="J755" t="str">
        <f>CLEAN("LOC STR")</f>
        <v>LOC STR</v>
      </c>
      <c r="K755" t="str">
        <f t="shared" si="233"/>
        <v xml:space="preserve">LA CROSSE                     </v>
      </c>
      <c r="L755" t="str">
        <f>CLEAN("CITY OF LA CROSSE, GREEN BAY STREET")</f>
        <v>CITY OF LA CROSSE, GREEN BAY STREET</v>
      </c>
      <c r="M755" t="str">
        <f>CLEAN("22ND STREET SOUTH TO LOSEY BLVD    ")</f>
        <v xml:space="preserve">22ND STREET SOUTH TO LOSEY BLVD    </v>
      </c>
      <c r="N755">
        <v>0.16</v>
      </c>
      <c r="O755" t="str">
        <f>CLEAN("5991-07-78")</f>
        <v>5991-07-78</v>
      </c>
      <c r="P755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756" spans="1:16" x14ac:dyDescent="0.25">
      <c r="A756" t="str">
        <f t="shared" si="219"/>
        <v>10</v>
      </c>
      <c r="B756" t="str">
        <f t="shared" si="229"/>
        <v>21</v>
      </c>
      <c r="C756" s="1">
        <v>45300</v>
      </c>
      <c r="D756" t="str">
        <f>CLEAN("5992-07-19")</f>
        <v>5992-07-19</v>
      </c>
      <c r="E756" t="str">
        <f t="shared" si="234"/>
        <v xml:space="preserve">206  </v>
      </c>
      <c r="F756" t="str">
        <f>CLEAN("$500,000 - $749,999      ")</f>
        <v xml:space="preserve">$500,000 - $749,999      </v>
      </c>
      <c r="G756" t="str">
        <f>CLEAN("LET")</f>
        <v>LET</v>
      </c>
      <c r="H756" t="str">
        <f>CLEAN("LET CONSTRUCTION         ")</f>
        <v xml:space="preserve">LET CONSTRUCTION         </v>
      </c>
      <c r="I756" t="str">
        <f>CLEAN("CONST/LEFT TURN LANES/MONOTUBES    ")</f>
        <v xml:space="preserve">CONST/LEFT TURN LANES/MONOTUBES    </v>
      </c>
      <c r="J756" t="str">
        <f>CLEAN("LOC STR")</f>
        <v>LOC STR</v>
      </c>
      <c r="K756" t="str">
        <f t="shared" ref="K756:K764" si="235">CLEAN("DANE                          ")</f>
        <v xml:space="preserve">DANE                          </v>
      </c>
      <c r="L756" t="str">
        <f>CLEAN("C MADISON, GAMMON ROAD             ")</f>
        <v xml:space="preserve">C MADISON, GAMMON ROAD             </v>
      </c>
      <c r="M756" t="str">
        <f>CLEAN("WATTS ROAD INTERSECTION            ")</f>
        <v xml:space="preserve">WATTS ROAD INTERSECTION            </v>
      </c>
      <c r="N756">
        <v>6.8000000000000005E-2</v>
      </c>
      <c r="O756" t="str">
        <f t="shared" ref="O756:O779" si="236">CLEAN("          ")</f>
        <v xml:space="preserve">          </v>
      </c>
      <c r="P75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57" spans="1:16" x14ac:dyDescent="0.25">
      <c r="A757" t="str">
        <f t="shared" si="219"/>
        <v>10</v>
      </c>
      <c r="B757" t="str">
        <f t="shared" si="229"/>
        <v>21</v>
      </c>
      <c r="C757" s="1">
        <v>45316</v>
      </c>
      <c r="D757" t="str">
        <f>CLEAN("5992-08-49")</f>
        <v>5992-08-49</v>
      </c>
      <c r="E757" t="str">
        <f t="shared" si="234"/>
        <v xml:space="preserve">206  </v>
      </c>
      <c r="F757" t="str">
        <f>CLEAN("$100,000-$249,999        ")</f>
        <v xml:space="preserve">$100,000-$249,999        </v>
      </c>
      <c r="G757" t="str">
        <f>CLEAN("MIS")</f>
        <v>MIS</v>
      </c>
      <c r="H757" t="str">
        <f>CLEAN("NONLET CONSTR/REAL ESTATE")</f>
        <v>NONLET CONSTR/REAL ESTATE</v>
      </c>
      <c r="I757" t="str">
        <f>CLEAN("FUNDING FOR CALENDAR YR 2024/2025  ")</f>
        <v xml:space="preserve">FUNDING FOR CALENDAR YR 2024/2025  </v>
      </c>
      <c r="J757" t="str">
        <f>CLEAN("NON HWY")</f>
        <v>NON HWY</v>
      </c>
      <c r="K757" t="str">
        <f t="shared" si="235"/>
        <v xml:space="preserve">DANE                          </v>
      </c>
      <c r="L757" t="str">
        <f>CLEAN("PEDESTRIAN BIKE SAFETY EDUCATION   ")</f>
        <v xml:space="preserve">PEDESTRIAN BIKE SAFETY EDUCATION   </v>
      </c>
      <c r="M757" t="str">
        <f>CLEAN("CITY OF MADISON - 2024             ")</f>
        <v xml:space="preserve">CITY OF MADISON - 2024             </v>
      </c>
      <c r="N757">
        <v>7.0000000000000007E-2</v>
      </c>
      <c r="O757" t="str">
        <f t="shared" si="236"/>
        <v xml:space="preserve">          </v>
      </c>
      <c r="P757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58" spans="1:16" x14ac:dyDescent="0.25">
      <c r="A758" t="str">
        <f t="shared" si="219"/>
        <v>10</v>
      </c>
      <c r="B758" t="str">
        <f t="shared" si="229"/>
        <v>21</v>
      </c>
      <c r="C758" s="1">
        <v>45316</v>
      </c>
      <c r="D758" t="str">
        <f>CLEAN("5992-08-50")</f>
        <v>5992-08-50</v>
      </c>
      <c r="E758" t="str">
        <f t="shared" si="234"/>
        <v xml:space="preserve">206  </v>
      </c>
      <c r="F758" t="str">
        <f>CLEAN("$100,000-$249,999        ")</f>
        <v xml:space="preserve">$100,000-$249,999        </v>
      </c>
      <c r="G758" t="str">
        <f>CLEAN("MIS")</f>
        <v>MIS</v>
      </c>
      <c r="H758" t="str">
        <f>CLEAN("NONLET CONSTR/REAL ESTATE")</f>
        <v>NONLET CONSTR/REAL ESTATE</v>
      </c>
      <c r="I758" t="str">
        <f>CLEAN("FUNDING FOR CALENDAR YR 2025/2026  ")</f>
        <v xml:space="preserve">FUNDING FOR CALENDAR YR 2025/2026  </v>
      </c>
      <c r="J758" t="str">
        <f>CLEAN("NON HWY")</f>
        <v>NON HWY</v>
      </c>
      <c r="K758" t="str">
        <f t="shared" si="235"/>
        <v xml:space="preserve">DANE                          </v>
      </c>
      <c r="L758" t="str">
        <f>CLEAN("PEDESTRIAN BIKE SAFETY EDUCATION   ")</f>
        <v xml:space="preserve">PEDESTRIAN BIKE SAFETY EDUCATION   </v>
      </c>
      <c r="M758" t="str">
        <f>CLEAN("CITY OF MADISON - 2025             ")</f>
        <v xml:space="preserve">CITY OF MADISON - 2025             </v>
      </c>
      <c r="N758">
        <v>7.0000000000000007E-2</v>
      </c>
      <c r="O758" t="str">
        <f t="shared" si="236"/>
        <v xml:space="preserve">          </v>
      </c>
      <c r="P75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59" spans="1:16" x14ac:dyDescent="0.25">
      <c r="A759" t="str">
        <f t="shared" si="219"/>
        <v>10</v>
      </c>
      <c r="B759" t="str">
        <f t="shared" si="229"/>
        <v>21</v>
      </c>
      <c r="C759" s="1">
        <v>45621</v>
      </c>
      <c r="D759" t="str">
        <f>CLEAN("5992-08-53")</f>
        <v>5992-08-53</v>
      </c>
      <c r="E759" t="str">
        <f t="shared" si="234"/>
        <v xml:space="preserve">206  </v>
      </c>
      <c r="F759" t="str">
        <f>CLEAN("$100,000-$249,999        ")</f>
        <v xml:space="preserve">$100,000-$249,999        </v>
      </c>
      <c r="G759" t="str">
        <f>CLEAN("MIS")</f>
        <v>MIS</v>
      </c>
      <c r="H759" t="str">
        <f>CLEAN("NONLET CONSTR/REAL ESTATE")</f>
        <v>NONLET CONSTR/REAL ESTATE</v>
      </c>
      <c r="I759" t="str">
        <f>CLEAN("FUNDING FOR CALENDAR 2025/2026     ")</f>
        <v xml:space="preserve">FUNDING FOR CALENDAR 2025/2026     </v>
      </c>
      <c r="J759" t="str">
        <f>CLEAN("NON HWY")</f>
        <v>NON HWY</v>
      </c>
      <c r="K759" t="str">
        <f t="shared" si="235"/>
        <v xml:space="preserve">DANE                          </v>
      </c>
      <c r="L759" t="str">
        <f>CLEAN("RIDESHARE/TDM PROGRAM 2025         ")</f>
        <v xml:space="preserve">RIDESHARE/TDM PROGRAM 2025         </v>
      </c>
      <c r="M759" t="str">
        <f>CLEAN("MADISON AREA MPO                   ")</f>
        <v xml:space="preserve">MADISON AREA MPO                   </v>
      </c>
      <c r="N759">
        <v>7.0000000000000007E-2</v>
      </c>
      <c r="O759" t="str">
        <f t="shared" si="236"/>
        <v xml:space="preserve">          </v>
      </c>
      <c r="P759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0" spans="1:16" x14ac:dyDescent="0.25">
      <c r="A760" t="str">
        <f t="shared" ref="A760:A823" si="237">CLEAN("10")</f>
        <v>10</v>
      </c>
      <c r="B760" t="str">
        <f t="shared" si="229"/>
        <v>21</v>
      </c>
      <c r="C760" s="1">
        <v>45498</v>
      </c>
      <c r="D760" t="str">
        <f>CLEAN("5992-10-45")</f>
        <v>5992-10-45</v>
      </c>
      <c r="E760" t="str">
        <f>CLEAN("290  ")</f>
        <v xml:space="preserve">290  </v>
      </c>
      <c r="F760" t="str">
        <f>CLEAN("$1,000,000 - $1,999,999  ")</f>
        <v xml:space="preserve">$1,000,000 - $1,999,999  </v>
      </c>
      <c r="G760" t="str">
        <f>CLEAN("LLC")</f>
        <v>LLC</v>
      </c>
      <c r="H760" t="str">
        <f>CLEAN("NONLET CONSTR/REAL ESTATE")</f>
        <v>NONLET CONSTR/REAL ESTATE</v>
      </c>
      <c r="I760" t="str">
        <f>CLEAN("PEDESTRIAN / BICYCLE MULTI-USE PATH")</f>
        <v>PEDESTRIAN / BICYCLE MULTI-USE PATH</v>
      </c>
      <c r="J760" t="str">
        <f>CLEAN("NON HWY")</f>
        <v>NON HWY</v>
      </c>
      <c r="K760" t="str">
        <f t="shared" si="235"/>
        <v xml:space="preserve">DANE                          </v>
      </c>
      <c r="L760" t="str">
        <f>CLEAN("C MADISON, WEST TOWNE PATH EXT     ")</f>
        <v xml:space="preserve">C MADISON, WEST TOWNE PATH EXT     </v>
      </c>
      <c r="M760" t="str">
        <f>CLEAN("S HIGH POINT TO ZOR SHRINE PLACE   ")</f>
        <v xml:space="preserve">S HIGH POINT TO ZOR SHRINE PLACE   </v>
      </c>
      <c r="N760">
        <v>0.39</v>
      </c>
      <c r="O760" t="str">
        <f t="shared" si="236"/>
        <v xml:space="preserve">          </v>
      </c>
      <c r="P760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761" spans="1:16" x14ac:dyDescent="0.25">
      <c r="A761" t="str">
        <f t="shared" si="237"/>
        <v>10</v>
      </c>
      <c r="B761" t="str">
        <f t="shared" si="229"/>
        <v>21</v>
      </c>
      <c r="C761" s="1">
        <v>45272</v>
      </c>
      <c r="D761" t="str">
        <f>CLEAN("5992-11-11")</f>
        <v>5992-11-11</v>
      </c>
      <c r="E761" t="str">
        <f>CLEAN("206  ")</f>
        <v xml:space="preserve">206  </v>
      </c>
      <c r="F761" t="str">
        <f>CLEAN("$5,000,000 - $5,999,999  ")</f>
        <v xml:space="preserve">$5,000,000 - $5,999,999  </v>
      </c>
      <c r="G761" t="str">
        <f>CLEAN("LET")</f>
        <v>LET</v>
      </c>
      <c r="H761" t="str">
        <f>CLEAN("LET CONSTRUCTION         ")</f>
        <v xml:space="preserve">LET CONSTRUCTION         </v>
      </c>
      <c r="I761" t="str">
        <f>CLEAN("PEDESTRIAN/BICYCLE BRIDGE          ")</f>
        <v xml:space="preserve">PEDESTRIAN/BICYCLE BRIDGE          </v>
      </c>
      <c r="J761" t="str">
        <f>CLEAN("NON HWY")</f>
        <v>NON HWY</v>
      </c>
      <c r="K761" t="str">
        <f t="shared" si="235"/>
        <v xml:space="preserve">DANE                          </v>
      </c>
      <c r="L761" t="str">
        <f>CLEAN("C OF MADISON, AUTUMN RIDGE PATH    ")</f>
        <v xml:space="preserve">C OF MADISON, AUTUMN RIDGE PATH    </v>
      </c>
      <c r="M761" t="str">
        <f>CLEAN("MILWAUKEE STREET TO ZIEGLER ROAD   ")</f>
        <v xml:space="preserve">MILWAUKEE STREET TO ZIEGLER ROAD   </v>
      </c>
      <c r="N761">
        <v>0.70899999999999996</v>
      </c>
      <c r="O761" t="str">
        <f t="shared" si="236"/>
        <v xml:space="preserve">          </v>
      </c>
      <c r="P76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2" spans="1:16" x14ac:dyDescent="0.25">
      <c r="A762" t="str">
        <f t="shared" si="237"/>
        <v>10</v>
      </c>
      <c r="B762" t="str">
        <f t="shared" si="229"/>
        <v>21</v>
      </c>
      <c r="C762" s="1">
        <v>45498</v>
      </c>
      <c r="D762" t="str">
        <f>CLEAN("5992-11-35")</f>
        <v>5992-11-35</v>
      </c>
      <c r="E762" t="str">
        <f>CLEAN("206  ")</f>
        <v xml:space="preserve">206  </v>
      </c>
      <c r="F762" t="str">
        <f>CLEAN("$1,000,000 - $1,999,999  ")</f>
        <v xml:space="preserve">$1,000,000 - $1,999,999  </v>
      </c>
      <c r="G762" t="str">
        <f>CLEAN("LLC")</f>
        <v>LLC</v>
      </c>
      <c r="H762" t="str">
        <f>CLEAN("NONLET CONSTR/REAL ESTATE")</f>
        <v>NONLET CONSTR/REAL ESTATE</v>
      </c>
      <c r="I762" t="str">
        <f>CLEAN("CONST/CARBON RED-LED LIGHTING      ")</f>
        <v xml:space="preserve">CONST/CARBON RED-LED LIGHTING      </v>
      </c>
      <c r="J762" t="str">
        <f>CLEAN("VAR HWY")</f>
        <v>VAR HWY</v>
      </c>
      <c r="K762" t="str">
        <f t="shared" si="235"/>
        <v xml:space="preserve">DANE                          </v>
      </c>
      <c r="L762" t="str">
        <f>CLEAN("C MADISON, LED STREET LIGHTS       ")</f>
        <v xml:space="preserve">C MADISON, LED STREET LIGHTS       </v>
      </c>
      <c r="M762" t="str">
        <f>CLEAN("VARIOUS LOCATIONS - C MADISON      ")</f>
        <v xml:space="preserve">VARIOUS LOCATIONS - C MADISON      </v>
      </c>
      <c r="N762">
        <v>0</v>
      </c>
      <c r="O762" t="str">
        <f t="shared" si="236"/>
        <v xml:space="preserve">          </v>
      </c>
      <c r="P762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763" spans="1:16" x14ac:dyDescent="0.25">
      <c r="A763" t="str">
        <f t="shared" si="237"/>
        <v>10</v>
      </c>
      <c r="B763" t="str">
        <f t="shared" si="229"/>
        <v>21</v>
      </c>
      <c r="C763" s="1">
        <v>45316</v>
      </c>
      <c r="D763" t="str">
        <f>CLEAN("5993-02-08")</f>
        <v>5993-02-08</v>
      </c>
      <c r="E763" t="str">
        <f>CLEAN("206  ")</f>
        <v xml:space="preserve">206  </v>
      </c>
      <c r="F763" t="str">
        <f>CLEAN("$100,000-$249,999        ")</f>
        <v xml:space="preserve">$100,000-$249,999        </v>
      </c>
      <c r="G763" t="str">
        <f>CLEAN("MIS")</f>
        <v>MIS</v>
      </c>
      <c r="H763" t="str">
        <f>CLEAN("NONLET CONSTR/REAL ESTATE")</f>
        <v>NONLET CONSTR/REAL ESTATE</v>
      </c>
      <c r="I763" t="str">
        <f>CLEAN("CONST/CARBON RED-LED LIGHTING      ")</f>
        <v xml:space="preserve">CONST/CARBON RED-LED LIGHTING      </v>
      </c>
      <c r="J763" t="str">
        <f>CLEAN("VAR HWY")</f>
        <v>VAR HWY</v>
      </c>
      <c r="K763" t="str">
        <f t="shared" si="235"/>
        <v xml:space="preserve">DANE                          </v>
      </c>
      <c r="L763" t="str">
        <f>CLEAN("C MIDDLETON, LED STREET LIGHTS     ")</f>
        <v xml:space="preserve">C MIDDLETON, LED STREET LIGHTS     </v>
      </c>
      <c r="M763" t="str">
        <f>CLEAN("VARIOUS LOCATIONS - C MIDDLETON    ")</f>
        <v xml:space="preserve">VARIOUS LOCATIONS - C MIDDLETON    </v>
      </c>
      <c r="N763">
        <v>0</v>
      </c>
      <c r="O763" t="str">
        <f t="shared" si="236"/>
        <v xml:space="preserve">          </v>
      </c>
      <c r="P763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64" spans="1:16" x14ac:dyDescent="0.25">
      <c r="A764" t="str">
        <f t="shared" si="237"/>
        <v>10</v>
      </c>
      <c r="B764" t="str">
        <f t="shared" si="229"/>
        <v>21</v>
      </c>
      <c r="C764" s="1">
        <v>45316</v>
      </c>
      <c r="D764" t="str">
        <f>CLEAN("5994-02-18")</f>
        <v>5994-02-18</v>
      </c>
      <c r="E764" t="str">
        <f>CLEAN("206  ")</f>
        <v xml:space="preserve">206  </v>
      </c>
      <c r="F764" t="str">
        <f>CLEAN("$100,000-$249,999        ")</f>
        <v xml:space="preserve">$100,000-$249,999        </v>
      </c>
      <c r="G764" t="str">
        <f>CLEAN("MIS")</f>
        <v>MIS</v>
      </c>
      <c r="H764" t="str">
        <f>CLEAN("NONLET CONSTR/REAL ESTATE")</f>
        <v>NONLET CONSTR/REAL ESTATE</v>
      </c>
      <c r="I764" t="str">
        <f>CLEAN("CONST/CARBON RED-LED LIGHTING      ")</f>
        <v xml:space="preserve">CONST/CARBON RED-LED LIGHTING      </v>
      </c>
      <c r="J764" t="str">
        <f>CLEAN("VAR HWY")</f>
        <v>VAR HWY</v>
      </c>
      <c r="K764" t="str">
        <f t="shared" si="235"/>
        <v xml:space="preserve">DANE                          </v>
      </c>
      <c r="L764" t="str">
        <f>CLEAN("C MONONA, LED STREET LIGHTS        ")</f>
        <v xml:space="preserve">C MONONA, LED STREET LIGHTS        </v>
      </c>
      <c r="M764" t="str">
        <f>CLEAN("VARIOUS LOCATIONS - C MONONA       ")</f>
        <v xml:space="preserve">VARIOUS LOCATIONS - C MONONA       </v>
      </c>
      <c r="N764">
        <v>0</v>
      </c>
      <c r="O764" t="str">
        <f t="shared" si="236"/>
        <v xml:space="preserve">          </v>
      </c>
      <c r="P764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65" spans="1:16" x14ac:dyDescent="0.25">
      <c r="A765" t="str">
        <f t="shared" si="237"/>
        <v>10</v>
      </c>
      <c r="B765" t="str">
        <f t="shared" si="229"/>
        <v>21</v>
      </c>
      <c r="C765" s="1">
        <v>45363</v>
      </c>
      <c r="D765" t="str">
        <f>CLEAN("6020-04-72")</f>
        <v>6020-04-72</v>
      </c>
      <c r="E765" t="str">
        <f>CLEAN("303  ")</f>
        <v xml:space="preserve">303  </v>
      </c>
      <c r="F765" t="str">
        <f>CLEAN("$8,000,000 - $8,999,999  ")</f>
        <v xml:space="preserve">$8,000,000 - $8,999,999  </v>
      </c>
      <c r="G765" t="str">
        <f>CLEAN("LET")</f>
        <v>LET</v>
      </c>
      <c r="H765" t="str">
        <f>CLEAN("LET CONSTRUCTION         ")</f>
        <v xml:space="preserve">LET CONSTRUCTION         </v>
      </c>
      <c r="I765" t="str">
        <f>CLEAN("CONST/ MILL &amp; OVERLAY              ")</f>
        <v xml:space="preserve">CONST/ MILL &amp; OVERLAY              </v>
      </c>
      <c r="J765" t="str">
        <f>CLEAN("USH 051")</f>
        <v>USH 051</v>
      </c>
      <c r="K765" t="str">
        <f>CLEAN("COLUMBIA                      ")</f>
        <v xml:space="preserve">COLUMBIA                      </v>
      </c>
      <c r="L765" t="str">
        <f>CLEAN("DEFOREST - PORTAGE                 ")</f>
        <v xml:space="preserve">DEFOREST - PORTAGE                 </v>
      </c>
      <c r="M765" t="str">
        <f>CLEAN("TOMLINSON ROAD TO ONTARIO STREET   ")</f>
        <v xml:space="preserve">TOMLINSON ROAD TO ONTARIO STREET   </v>
      </c>
      <c r="N765">
        <v>10.653</v>
      </c>
      <c r="O765" t="str">
        <f t="shared" si="236"/>
        <v xml:space="preserve">          </v>
      </c>
      <c r="P76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66" spans="1:16" x14ac:dyDescent="0.25">
      <c r="A766" t="str">
        <f t="shared" si="237"/>
        <v>10</v>
      </c>
      <c r="B766" t="str">
        <f t="shared" si="229"/>
        <v>21</v>
      </c>
      <c r="C766" s="1">
        <v>45363</v>
      </c>
      <c r="D766" t="str">
        <f>CLEAN("6020-04-72")</f>
        <v>6020-04-72</v>
      </c>
      <c r="E766" t="str">
        <f>CLEAN("303  ")</f>
        <v xml:space="preserve">303  </v>
      </c>
      <c r="F766" t="str">
        <f>CLEAN("$8,000,000 - $8,999,999  ")</f>
        <v xml:space="preserve">$8,000,000 - $8,999,999  </v>
      </c>
      <c r="G766" t="str">
        <f>CLEAN("LET")</f>
        <v>LET</v>
      </c>
      <c r="H766" t="str">
        <f>CLEAN("LET CONSTRUCTION         ")</f>
        <v xml:space="preserve">LET CONSTRUCTION         </v>
      </c>
      <c r="I766" t="str">
        <f>CLEAN("CONST/ MILL &amp; OVERLAY              ")</f>
        <v xml:space="preserve">CONST/ MILL &amp; OVERLAY              </v>
      </c>
      <c r="J766" t="str">
        <f>CLEAN("USH 051")</f>
        <v>USH 051</v>
      </c>
      <c r="K766" t="str">
        <f>CLEAN("COLUMBIA                      ")</f>
        <v xml:space="preserve">COLUMBIA                      </v>
      </c>
      <c r="L766" t="str">
        <f>CLEAN("DEFOREST - PORTAGE                 ")</f>
        <v xml:space="preserve">DEFOREST - PORTAGE                 </v>
      </c>
      <c r="M766" t="str">
        <f>CLEAN("TOMLINSON ROAD TO ONTARIO STREET   ")</f>
        <v xml:space="preserve">TOMLINSON ROAD TO ONTARIO STREET   </v>
      </c>
      <c r="N766">
        <v>10.653</v>
      </c>
      <c r="O766" t="str">
        <f t="shared" si="236"/>
        <v xml:space="preserve">          </v>
      </c>
      <c r="P76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67" spans="1:16" x14ac:dyDescent="0.25">
      <c r="A767" t="str">
        <f t="shared" si="237"/>
        <v>10</v>
      </c>
      <c r="B767" t="str">
        <f t="shared" si="229"/>
        <v>21</v>
      </c>
      <c r="C767" s="1">
        <v>45391</v>
      </c>
      <c r="D767" t="str">
        <f>CLEAN("6040-00-75")</f>
        <v>6040-00-75</v>
      </c>
      <c r="E767" t="str">
        <f>CLEAN("205  ")</f>
        <v xml:space="preserve">205  </v>
      </c>
      <c r="F767" t="str">
        <f>CLEAN("$500,000 - $749,999      ")</f>
        <v xml:space="preserve">$500,000 - $749,999      </v>
      </c>
      <c r="G767" t="str">
        <f>CLEAN("LET")</f>
        <v>LET</v>
      </c>
      <c r="H767" t="str">
        <f>CLEAN("LET CONSTRUCTION         ")</f>
        <v xml:space="preserve">LET CONSTRUCTION         </v>
      </c>
      <c r="I767" t="str">
        <f>CLEAN("CONST/BRIDGE REPLACEMENT           ")</f>
        <v xml:space="preserve">CONST/BRIDGE REPLACEMENT           </v>
      </c>
      <c r="J767" t="str">
        <f>CLEAN("LOC STR")</f>
        <v>LOC STR</v>
      </c>
      <c r="K767" t="str">
        <f>CLEAN("COLUMBIA                      ")</f>
        <v xml:space="preserve">COLUMBIA                      </v>
      </c>
      <c r="L767" t="str">
        <f>CLEAN("TOWN OF SCOTT, KOWALD ROAD         ")</f>
        <v xml:space="preserve">TOWN OF SCOTT, KOWALD ROAD         </v>
      </c>
      <c r="M767" t="str">
        <f>CLEAN("FOX RIVER BRIDGE, B-11-0181        ")</f>
        <v xml:space="preserve">FOX RIVER BRIDGE, B-11-0181        </v>
      </c>
      <c r="N767">
        <v>4.7E-2</v>
      </c>
      <c r="O767" t="str">
        <f t="shared" si="236"/>
        <v xml:space="preserve">          </v>
      </c>
      <c r="P76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68" spans="1:16" x14ac:dyDescent="0.25">
      <c r="A768" t="str">
        <f t="shared" si="237"/>
        <v>10</v>
      </c>
      <c r="B768" t="str">
        <f t="shared" si="229"/>
        <v>21</v>
      </c>
      <c r="C768" s="1">
        <v>45376</v>
      </c>
      <c r="D768" t="str">
        <f>CLEAN("6085-02-26")</f>
        <v>6085-02-26</v>
      </c>
      <c r="E768" t="str">
        <f t="shared" ref="E768:E783" si="238">CLEAN("303  ")</f>
        <v xml:space="preserve">303  </v>
      </c>
      <c r="F768" t="str">
        <f>CLEAN("$0 - $99,999             ")</f>
        <v xml:space="preserve">$0 - $99,999             </v>
      </c>
      <c r="G768" t="str">
        <f>CLEAN("R/E")</f>
        <v>R/E</v>
      </c>
      <c r="H768" t="str">
        <f>CLEAN("NONLET CONSTR/REAL ESTATE")</f>
        <v>NONLET CONSTR/REAL ESTATE</v>
      </c>
      <c r="I768" t="str">
        <f>CLEAN("RE OPS/6085-02-76/RECST            ")</f>
        <v xml:space="preserve">RE OPS/6085-02-76/RECST            </v>
      </c>
      <c r="J768" t="str">
        <f>CLEAN("STH 019")</f>
        <v>STH 019</v>
      </c>
      <c r="K768" t="str">
        <f>CLEAN("DANE                          ")</f>
        <v xml:space="preserve">DANE                          </v>
      </c>
      <c r="L768" t="str">
        <f>CLEAN("MAZOMANIE - SUN PRAIRIE            ")</f>
        <v xml:space="preserve">MAZOMANIE - SUN PRAIRIE            </v>
      </c>
      <c r="M768" t="str">
        <f>CLEAN("WESTMOUNT DRIVE INTERSECTION       ")</f>
        <v xml:space="preserve">WESTMOUNT DRIVE INTERSECTION       </v>
      </c>
      <c r="N768">
        <v>0.46600000000000003</v>
      </c>
      <c r="O768" t="str">
        <f t="shared" si="236"/>
        <v xml:space="preserve">          </v>
      </c>
      <c r="P76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69" spans="1:16" x14ac:dyDescent="0.25">
      <c r="A769" t="str">
        <f t="shared" si="237"/>
        <v>10</v>
      </c>
      <c r="B769" t="str">
        <f>CLEAN("24")</f>
        <v>24</v>
      </c>
      <c r="C769" s="1">
        <v>45621</v>
      </c>
      <c r="D769" t="str">
        <f>CLEAN("6116-00-20")</f>
        <v>6116-00-20</v>
      </c>
      <c r="E769" t="str">
        <f t="shared" si="238"/>
        <v xml:space="preserve">303  </v>
      </c>
      <c r="F769" t="str">
        <f>CLEAN("$0 - $99,999             ")</f>
        <v xml:space="preserve">$0 - $99,999             </v>
      </c>
      <c r="G769" t="str">
        <f>CLEAN("R/E")</f>
        <v>R/E</v>
      </c>
      <c r="H769" t="str">
        <f>CLEAN("NONLET CONSTR/REAL ESTATE")</f>
        <v>NONLET CONSTR/REAL ESTATE</v>
      </c>
      <c r="I769" t="str">
        <f>CLEAN("REAL ESTATE/RESURFACE              ")</f>
        <v xml:space="preserve">REAL ESTATE/RESURFACE              </v>
      </c>
      <c r="J769" t="str">
        <f>CLEAN("STH 187")</f>
        <v>STH 187</v>
      </c>
      <c r="K769" t="str">
        <f>CLEAN("SHAWANO                       ")</f>
        <v xml:space="preserve">SHAWANO                       </v>
      </c>
      <c r="L769" t="str">
        <f>CLEAN("SHIOCTON - STH 156                 ")</f>
        <v xml:space="preserve">SHIOCTON - STH 156                 </v>
      </c>
      <c r="M769" t="str">
        <f>CLEAN("OUTAGAMIE COUNTY LINE TO STH 156   ")</f>
        <v xml:space="preserve">OUTAGAMIE COUNTY LINE TO STH 156   </v>
      </c>
      <c r="N769">
        <v>3.2</v>
      </c>
      <c r="O769" t="str">
        <f t="shared" si="236"/>
        <v xml:space="preserve">          </v>
      </c>
      <c r="P76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0" spans="1:16" x14ac:dyDescent="0.25">
      <c r="A770" t="str">
        <f t="shared" si="237"/>
        <v>10</v>
      </c>
      <c r="B770" t="str">
        <f>CLEAN("24")</f>
        <v>24</v>
      </c>
      <c r="C770" s="1">
        <v>45363</v>
      </c>
      <c r="D770" t="str">
        <f>CLEAN("6140-01-66")</f>
        <v>6140-01-66</v>
      </c>
      <c r="E770" t="str">
        <f t="shared" si="238"/>
        <v xml:space="preserve">303  </v>
      </c>
      <c r="F770" t="str">
        <f>CLEAN("$1,000,000 - $1,999,999  ")</f>
        <v xml:space="preserve">$1,000,000 - $1,999,999  </v>
      </c>
      <c r="G770" t="str">
        <f>CLEAN("LET")</f>
        <v>LET</v>
      </c>
      <c r="H770" t="str">
        <f>CLEAN("LET CONSTRUCTION         ")</f>
        <v xml:space="preserve">LET CONSTRUCTION         </v>
      </c>
      <c r="I770" t="str">
        <f>CLEAN("CONSTR/RESURFACE                   ")</f>
        <v xml:space="preserve">CONSTR/RESURFACE                   </v>
      </c>
      <c r="J770" t="str">
        <f>CLEAN("STH 013")</f>
        <v>STH 013</v>
      </c>
      <c r="K770" t="str">
        <f>CLEAN("ADAMS                         ")</f>
        <v xml:space="preserve">ADAMS                         </v>
      </c>
      <c r="L770" t="str">
        <f>CLEAN("V OF FRIENDSHIP                    ")</f>
        <v xml:space="preserve">V OF FRIENDSHIP                    </v>
      </c>
      <c r="M770" t="str">
        <f>CLEAN("NORTH ST TO MOUND VIEW DR          ")</f>
        <v xml:space="preserve">NORTH ST TO MOUND VIEW DR          </v>
      </c>
      <c r="N770">
        <v>0.67800000000000005</v>
      </c>
      <c r="O770" t="str">
        <f t="shared" si="236"/>
        <v xml:space="preserve">          </v>
      </c>
      <c r="P770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771" spans="1:16" x14ac:dyDescent="0.25">
      <c r="A771" t="str">
        <f t="shared" si="237"/>
        <v>10</v>
      </c>
      <c r="B771" t="str">
        <f>CLEAN("24")</f>
        <v>24</v>
      </c>
      <c r="C771" s="1">
        <v>45363</v>
      </c>
      <c r="D771" t="str">
        <f>CLEAN("6140-01-66")</f>
        <v>6140-01-66</v>
      </c>
      <c r="E771" t="str">
        <f t="shared" si="238"/>
        <v xml:space="preserve">303  </v>
      </c>
      <c r="F771" t="str">
        <f>CLEAN("$1,000,000 - $1,999,999  ")</f>
        <v xml:space="preserve">$1,000,000 - $1,999,999  </v>
      </c>
      <c r="G771" t="str">
        <f>CLEAN("LET")</f>
        <v>LET</v>
      </c>
      <c r="H771" t="str">
        <f>CLEAN("LET CONSTRUCTION         ")</f>
        <v xml:space="preserve">LET CONSTRUCTION         </v>
      </c>
      <c r="I771" t="str">
        <f>CLEAN("CONSTR/RESURFACE                   ")</f>
        <v xml:space="preserve">CONSTR/RESURFACE                   </v>
      </c>
      <c r="J771" t="str">
        <f>CLEAN("STH 013")</f>
        <v>STH 013</v>
      </c>
      <c r="K771" t="str">
        <f>CLEAN("ADAMS                         ")</f>
        <v xml:space="preserve">ADAMS                         </v>
      </c>
      <c r="L771" t="str">
        <f>CLEAN("V OF FRIENDSHIP                    ")</f>
        <v xml:space="preserve">V OF FRIENDSHIP                    </v>
      </c>
      <c r="M771" t="str">
        <f>CLEAN("NORTH ST TO MOUND VIEW DR          ")</f>
        <v xml:space="preserve">NORTH ST TO MOUND VIEW DR          </v>
      </c>
      <c r="N771">
        <v>0.67800000000000005</v>
      </c>
      <c r="O771" t="str">
        <f t="shared" si="236"/>
        <v xml:space="preserve">          </v>
      </c>
      <c r="P771" t="str">
        <f t="shared" ref="P771:P777" si="239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2" spans="1:16" x14ac:dyDescent="0.25">
      <c r="A772" t="str">
        <f t="shared" si="237"/>
        <v>10</v>
      </c>
      <c r="B772" t="str">
        <f>CLEAN("21")</f>
        <v>21</v>
      </c>
      <c r="C772" s="1">
        <v>45316</v>
      </c>
      <c r="D772" t="str">
        <f>CLEAN("6145-01-22")</f>
        <v>6145-01-22</v>
      </c>
      <c r="E772" t="str">
        <f t="shared" si="238"/>
        <v xml:space="preserve">303  </v>
      </c>
      <c r="F772" t="str">
        <f>CLEAN("$1,000,000 - $1,999,999  ")</f>
        <v xml:space="preserve">$1,000,000 - $1,999,999  </v>
      </c>
      <c r="G772" t="str">
        <f>CLEAN("R/E")</f>
        <v>R/E</v>
      </c>
      <c r="H772" t="str">
        <f t="shared" ref="H772:H777" si="240">CLEAN("NONLET CONSTR/REAL ESTATE")</f>
        <v>NONLET CONSTR/REAL ESTATE</v>
      </c>
      <c r="I772" t="str">
        <f>CLEAN("RE - OPS FOR 6145-01-72            ")</f>
        <v xml:space="preserve">RE - OPS FOR 6145-01-72            </v>
      </c>
      <c r="J772" t="str">
        <f>CLEAN("USH 012")</f>
        <v>USH 012</v>
      </c>
      <c r="K772" t="str">
        <f>CLEAN("SAUK                          ")</f>
        <v xml:space="preserve">SAUK                          </v>
      </c>
      <c r="L772" t="str">
        <f>CLEAN("WISCONSIN DELLS - BARABOO          ")</f>
        <v xml:space="preserve">WISCONSIN DELLS - BARABOO          </v>
      </c>
      <c r="M772" t="str">
        <f>CLEAN("CTH A TO PILGRIM DRIVE             ")</f>
        <v xml:space="preserve">CTH A TO PILGRIM DRIVE             </v>
      </c>
      <c r="N772">
        <v>1.04</v>
      </c>
      <c r="O772" t="str">
        <f t="shared" si="236"/>
        <v xml:space="preserve">          </v>
      </c>
      <c r="P772" t="str">
        <f t="shared" si="239"/>
        <v xml:space="preserve">STATE 3R                                                                                            </v>
      </c>
    </row>
    <row r="773" spans="1:16" x14ac:dyDescent="0.25">
      <c r="A773" t="str">
        <f t="shared" si="237"/>
        <v>10</v>
      </c>
      <c r="B773" t="str">
        <f>CLEAN("21")</f>
        <v>21</v>
      </c>
      <c r="C773" s="1">
        <v>45468</v>
      </c>
      <c r="D773" t="str">
        <f>CLEAN("6145-01-23")</f>
        <v>6145-01-23</v>
      </c>
      <c r="E773" t="str">
        <f t="shared" si="238"/>
        <v xml:space="preserve">303  </v>
      </c>
      <c r="F773" t="str">
        <f>CLEAN("$750,000 - $999,999      ")</f>
        <v xml:space="preserve">$750,000 - $999,999      </v>
      </c>
      <c r="G773" t="str">
        <f>CLEAN("R/E")</f>
        <v>R/E</v>
      </c>
      <c r="H773" t="str">
        <f t="shared" si="240"/>
        <v>NONLET CONSTR/REAL ESTATE</v>
      </c>
      <c r="I773" t="str">
        <f>CLEAN("RE - OPS FOR 6145-01-73            ")</f>
        <v xml:space="preserve">RE - OPS FOR 6145-01-73            </v>
      </c>
      <c r="J773" t="str">
        <f>CLEAN("USH 012")</f>
        <v>USH 012</v>
      </c>
      <c r="K773" t="str">
        <f>CLEAN("SAUK                          ")</f>
        <v xml:space="preserve">SAUK                          </v>
      </c>
      <c r="L773" t="str">
        <f>CLEAN("WISCONSIN DELLS - BARABOO          ")</f>
        <v xml:space="preserve">WISCONSIN DELLS - BARABOO          </v>
      </c>
      <c r="M773" t="str">
        <f>CLEAN("PILGRIM DRIVE TO E ADAMS ST        ")</f>
        <v xml:space="preserve">PILGRIM DRIVE TO E ADAMS ST        </v>
      </c>
      <c r="N773">
        <v>0.98299999999999998</v>
      </c>
      <c r="O773" t="str">
        <f t="shared" si="236"/>
        <v xml:space="preserve">          </v>
      </c>
      <c r="P773" t="str">
        <f t="shared" si="239"/>
        <v xml:space="preserve">STATE 3R                                                                                            </v>
      </c>
    </row>
    <row r="774" spans="1:16" x14ac:dyDescent="0.25">
      <c r="A774" t="str">
        <f t="shared" si="237"/>
        <v>10</v>
      </c>
      <c r="B774" t="str">
        <f>CLEAN("24")</f>
        <v>24</v>
      </c>
      <c r="C774" s="1">
        <v>45407</v>
      </c>
      <c r="D774" t="str">
        <f>CLEAN("6150-01-27")</f>
        <v>6150-01-27</v>
      </c>
      <c r="E774" t="str">
        <f t="shared" si="238"/>
        <v xml:space="preserve">303  </v>
      </c>
      <c r="F774" t="str">
        <f>CLEAN("$0 - $99,999             ")</f>
        <v xml:space="preserve">$0 - $99,999             </v>
      </c>
      <c r="G774" t="str">
        <f>CLEAN("R/E")</f>
        <v>R/E</v>
      </c>
      <c r="H774" t="str">
        <f t="shared" si="240"/>
        <v>NONLET CONSTR/REAL ESTATE</v>
      </c>
      <c r="I774" t="str">
        <f>CLEAN("REAL ESTATE/RECONSTRUCT            ")</f>
        <v xml:space="preserve">REAL ESTATE/RECONSTRUCT            </v>
      </c>
      <c r="J774" t="str">
        <f>CLEAN("STH 022")</f>
        <v>STH 022</v>
      </c>
      <c r="K774" t="str">
        <f>CLEAN("MARQUETTE                     ")</f>
        <v xml:space="preserve">MARQUETTE                     </v>
      </c>
      <c r="L774" t="str">
        <f>CLEAN("C MONTELLO, CHURCH STREET          ")</f>
        <v xml:space="preserve">C MONTELLO, CHURCH STREET          </v>
      </c>
      <c r="M774" t="str">
        <f>CLEAN("N JCT STH 23 TO PARK STREET        ")</f>
        <v xml:space="preserve">N JCT STH 23 TO PARK STREET        </v>
      </c>
      <c r="N774">
        <v>0.19</v>
      </c>
      <c r="O774" t="str">
        <f t="shared" si="236"/>
        <v xml:space="preserve">          </v>
      </c>
      <c r="P774" t="str">
        <f t="shared" si="239"/>
        <v xml:space="preserve">STATE 3R                                                                                            </v>
      </c>
    </row>
    <row r="775" spans="1:16" x14ac:dyDescent="0.25">
      <c r="A775" t="str">
        <f t="shared" si="237"/>
        <v>10</v>
      </c>
      <c r="B775" t="str">
        <f>CLEAN("21")</f>
        <v>21</v>
      </c>
      <c r="C775" s="1">
        <v>45285</v>
      </c>
      <c r="D775" t="str">
        <f>CLEAN("6160-00-40")</f>
        <v>6160-00-40</v>
      </c>
      <c r="E775" t="str">
        <f t="shared" si="238"/>
        <v xml:space="preserve">303  </v>
      </c>
      <c r="F775" t="str">
        <f>CLEAN("$0 - $99,999             ")</f>
        <v xml:space="preserve">$0 - $99,999             </v>
      </c>
      <c r="G775" t="str">
        <f>CLEAN("UTL")</f>
        <v>UTL</v>
      </c>
      <c r="H775" t="str">
        <f t="shared" si="240"/>
        <v>NONLET CONSTR/REAL ESTATE</v>
      </c>
      <c r="I775" t="str">
        <f>CLEAN("UTL/ ALLIANT ENERGY-ELECT 101 /RSRF")</f>
        <v>UTL/ ALLIANT ENERGY-ELECT 101 /RSRF</v>
      </c>
      <c r="J775" t="str">
        <f t="shared" ref="J775:J783" si="241">CLEAN("STH 021")</f>
        <v>STH 021</v>
      </c>
      <c r="K775" t="str">
        <f>CLEAN("JUNEAU                        ")</f>
        <v xml:space="preserve">JUNEAU                        </v>
      </c>
      <c r="L775" t="str">
        <f>CLEAN("NECEDAH - COLOMA                   ")</f>
        <v xml:space="preserve">NECEDAH - COLOMA                   </v>
      </c>
      <c r="M775" t="str">
        <f>CLEAN("SHERIDAN STREET TO EAST COUNTY LINE")</f>
        <v>SHERIDAN STREET TO EAST COUNTY LINE</v>
      </c>
      <c r="N775">
        <v>3.3079999999999998</v>
      </c>
      <c r="O775" t="str">
        <f t="shared" si="236"/>
        <v xml:space="preserve">          </v>
      </c>
      <c r="P775" t="str">
        <f t="shared" si="239"/>
        <v xml:space="preserve">STATE 3R                                                                                            </v>
      </c>
    </row>
    <row r="776" spans="1:16" x14ac:dyDescent="0.25">
      <c r="A776" t="str">
        <f t="shared" si="237"/>
        <v>10</v>
      </c>
      <c r="B776" t="str">
        <f>CLEAN("21")</f>
        <v>21</v>
      </c>
      <c r="C776" s="1">
        <v>45590</v>
      </c>
      <c r="D776" t="str">
        <f>CLEAN("6160-00-50")</f>
        <v>6160-00-50</v>
      </c>
      <c r="E776" t="str">
        <f t="shared" si="238"/>
        <v xml:space="preserve">303  </v>
      </c>
      <c r="F776" t="str">
        <f>CLEAN("$100,000-$249,999        ")</f>
        <v xml:space="preserve">$100,000-$249,999        </v>
      </c>
      <c r="G776" t="str">
        <f>CLEAN("R/R")</f>
        <v>R/R</v>
      </c>
      <c r="H776" t="str">
        <f t="shared" si="240"/>
        <v>NONLET CONSTR/REAL ESTATE</v>
      </c>
      <c r="I776" t="str">
        <f>CLEAN("RR/UPGRADE CROSSING 392668W/RSRF   ")</f>
        <v xml:space="preserve">RR/UPGRADE CROSSING 392668W/RSRF   </v>
      </c>
      <c r="J776" t="str">
        <f t="shared" si="241"/>
        <v>STH 021</v>
      </c>
      <c r="K776" t="str">
        <f>CLEAN("JUNEAU                        ")</f>
        <v xml:space="preserve">JUNEAU                        </v>
      </c>
      <c r="L776" t="str">
        <f>CLEAN("NECEDAH - COLOMA                   ")</f>
        <v xml:space="preserve">NECEDAH - COLOMA                   </v>
      </c>
      <c r="M776" t="str">
        <f>CLEAN("SHERIDAN STREET TO EAST COUNTY LINE")</f>
        <v>SHERIDAN STREET TO EAST COUNTY LINE</v>
      </c>
      <c r="N776">
        <v>3.3079999999999998</v>
      </c>
      <c r="O776" t="str">
        <f t="shared" si="236"/>
        <v xml:space="preserve">          </v>
      </c>
      <c r="P776" t="str">
        <f t="shared" si="239"/>
        <v xml:space="preserve">STATE 3R                                                                                            </v>
      </c>
    </row>
    <row r="777" spans="1:16" x14ac:dyDescent="0.25">
      <c r="A777" t="str">
        <f t="shared" si="237"/>
        <v>10</v>
      </c>
      <c r="B777" t="str">
        <f>CLEAN("21")</f>
        <v>21</v>
      </c>
      <c r="C777" s="1">
        <v>45590</v>
      </c>
      <c r="D777" t="str">
        <f>CLEAN("6160-00-51")</f>
        <v>6160-00-51</v>
      </c>
      <c r="E777" t="str">
        <f t="shared" si="238"/>
        <v xml:space="preserve">303  </v>
      </c>
      <c r="F777" t="str">
        <f>CLEAN("$250,000 - $499,999      ")</f>
        <v xml:space="preserve">$250,000 - $499,999      </v>
      </c>
      <c r="G777" t="str">
        <f>CLEAN("R/R")</f>
        <v>R/R</v>
      </c>
      <c r="H777" t="str">
        <f t="shared" si="240"/>
        <v>NONLET CONSTR/REAL ESTATE</v>
      </c>
      <c r="I777" t="str">
        <f>CLEAN("RR/SIGNAL REPLACE/RSRF             ")</f>
        <v xml:space="preserve">RR/SIGNAL REPLACE/RSRF             </v>
      </c>
      <c r="J777" t="str">
        <f t="shared" si="241"/>
        <v>STH 021</v>
      </c>
      <c r="K777" t="str">
        <f>CLEAN("JUNEAU                        ")</f>
        <v xml:space="preserve">JUNEAU                        </v>
      </c>
      <c r="L777" t="str">
        <f>CLEAN("NECEDAH - COLOMA                   ")</f>
        <v xml:space="preserve">NECEDAH - COLOMA                   </v>
      </c>
      <c r="M777" t="str">
        <f>CLEAN("CANADIAN NAT'L ASSOC. XING 392668W ")</f>
        <v xml:space="preserve">CANADIAN NAT'L ASSOC. XING 392668W </v>
      </c>
      <c r="N777">
        <v>3.3079999999999998</v>
      </c>
      <c r="O777" t="str">
        <f t="shared" si="236"/>
        <v xml:space="preserve">          </v>
      </c>
      <c r="P777" t="str">
        <f t="shared" si="239"/>
        <v xml:space="preserve">STATE 3R                                                                                            </v>
      </c>
    </row>
    <row r="778" spans="1:16" x14ac:dyDescent="0.25">
      <c r="A778" t="str">
        <f t="shared" si="237"/>
        <v>10</v>
      </c>
      <c r="B778" t="str">
        <f>CLEAN("21")</f>
        <v>21</v>
      </c>
      <c r="C778" s="1">
        <v>45636</v>
      </c>
      <c r="D778" t="str">
        <f>CLEAN("6160-00-70")</f>
        <v>6160-00-70</v>
      </c>
      <c r="E778" t="str">
        <f t="shared" si="238"/>
        <v xml:space="preserve">303  </v>
      </c>
      <c r="F778" t="str">
        <f>CLEAN("$6,000,000 - $6,999,999  ")</f>
        <v xml:space="preserve">$6,000,000 - $6,999,999  </v>
      </c>
      <c r="G778" t="str">
        <f>CLEAN("LET")</f>
        <v>LET</v>
      </c>
      <c r="H778" t="str">
        <f>CLEAN("LET CONSTRUCTION         ")</f>
        <v xml:space="preserve">LET CONSTRUCTION         </v>
      </c>
      <c r="I778" t="str">
        <f>CLEAN("CONST/MILL &amp; O'LAY/RSRF            ")</f>
        <v xml:space="preserve">CONST/MILL &amp; O'LAY/RSRF            </v>
      </c>
      <c r="J778" t="str">
        <f t="shared" si="241"/>
        <v>STH 021</v>
      </c>
      <c r="K778" t="str">
        <f>CLEAN("JUNEAU                        ")</f>
        <v xml:space="preserve">JUNEAU                        </v>
      </c>
      <c r="L778" t="str">
        <f>CLEAN("NECEDAH - COLOMA                   ")</f>
        <v xml:space="preserve">NECEDAH - COLOMA                   </v>
      </c>
      <c r="M778" t="str">
        <f>CLEAN("SHERIDAN STREET TO EAST COUNTY LINE")</f>
        <v>SHERIDAN STREET TO EAST COUNTY LINE</v>
      </c>
      <c r="N778">
        <v>3.1989999999999998</v>
      </c>
      <c r="O778" t="str">
        <f t="shared" si="236"/>
        <v xml:space="preserve">          </v>
      </c>
      <c r="P77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79" spans="1:16" x14ac:dyDescent="0.25">
      <c r="A779" t="str">
        <f t="shared" si="237"/>
        <v>10</v>
      </c>
      <c r="B779" t="str">
        <f>CLEAN("21")</f>
        <v>21</v>
      </c>
      <c r="C779" s="1">
        <v>45636</v>
      </c>
      <c r="D779" t="str">
        <f>CLEAN("6160-00-70")</f>
        <v>6160-00-70</v>
      </c>
      <c r="E779" t="str">
        <f t="shared" si="238"/>
        <v xml:space="preserve">303  </v>
      </c>
      <c r="F779" t="str">
        <f>CLEAN("$6,000,000 - $6,999,999  ")</f>
        <v xml:space="preserve">$6,000,000 - $6,999,999  </v>
      </c>
      <c r="G779" t="str">
        <f>CLEAN("LET")</f>
        <v>LET</v>
      </c>
      <c r="H779" t="str">
        <f>CLEAN("LET CONSTRUCTION         ")</f>
        <v xml:space="preserve">LET CONSTRUCTION         </v>
      </c>
      <c r="I779" t="str">
        <f>CLEAN("CONST/MILL &amp; O'LAY/RSRF            ")</f>
        <v xml:space="preserve">CONST/MILL &amp; O'LAY/RSRF            </v>
      </c>
      <c r="J779" t="str">
        <f t="shared" si="241"/>
        <v>STH 021</v>
      </c>
      <c r="K779" t="str">
        <f>CLEAN("JUNEAU                        ")</f>
        <v xml:space="preserve">JUNEAU                        </v>
      </c>
      <c r="L779" t="str">
        <f>CLEAN("NECEDAH - COLOMA                   ")</f>
        <v xml:space="preserve">NECEDAH - COLOMA                   </v>
      </c>
      <c r="M779" t="str">
        <f>CLEAN("SHERIDAN STREET TO EAST COUNTY LINE")</f>
        <v>SHERIDAN STREET TO EAST COUNTY LINE</v>
      </c>
      <c r="N779">
        <v>3.1989999999999998</v>
      </c>
      <c r="O779" t="str">
        <f t="shared" si="236"/>
        <v xml:space="preserve">          </v>
      </c>
      <c r="P77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0" spans="1:16" x14ac:dyDescent="0.25">
      <c r="A780" t="str">
        <f t="shared" si="237"/>
        <v>10</v>
      </c>
      <c r="B780" t="str">
        <f>CLEAN("24")</f>
        <v>24</v>
      </c>
      <c r="C780" s="1">
        <v>45545</v>
      </c>
      <c r="D780" t="str">
        <f>CLEAN("6180-00-60")</f>
        <v>6180-00-60</v>
      </c>
      <c r="E780" t="str">
        <f t="shared" si="238"/>
        <v xml:space="preserve">303  </v>
      </c>
      <c r="F780" t="str">
        <f>CLEAN("$750,000 - $999,999      ")</f>
        <v xml:space="preserve">$750,000 - $999,999      </v>
      </c>
      <c r="G780" t="str">
        <f>CLEAN("LET")</f>
        <v>LET</v>
      </c>
      <c r="H780" t="str">
        <f>CLEAN("LET CONSTRUCTION         ")</f>
        <v xml:space="preserve">LET CONSTRUCTION         </v>
      </c>
      <c r="I780" t="str">
        <f>CLEAN("CONST/CULVERT REPLACEMENT          ")</f>
        <v xml:space="preserve">CONST/CULVERT REPLACEMENT          </v>
      </c>
      <c r="J780" t="str">
        <f t="shared" si="241"/>
        <v>STH 021</v>
      </c>
      <c r="K780" t="str">
        <f>CLEAN("WAUSHARA                      ")</f>
        <v xml:space="preserve">WAUSHARA                      </v>
      </c>
      <c r="L780" t="str">
        <f>CLEAN("REDGRANITE - OSHKOSH               ")</f>
        <v xml:space="preserve">REDGRANITE - OSHKOSH               </v>
      </c>
      <c r="M780" t="str">
        <f>CLEAN("FREDERICKS CREEK CULVERT C-69-9000 ")</f>
        <v xml:space="preserve">FREDERICKS CREEK CULVERT C-69-9000 </v>
      </c>
      <c r="N780">
        <v>4.5999999999999999E-2</v>
      </c>
      <c r="O780" t="str">
        <f>CLEAN("6180-00-71")</f>
        <v>6180-00-71</v>
      </c>
      <c r="P78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1" spans="1:16" x14ac:dyDescent="0.25">
      <c r="A781" t="str">
        <f t="shared" si="237"/>
        <v>10</v>
      </c>
      <c r="B781" t="str">
        <f>CLEAN("24")</f>
        <v>24</v>
      </c>
      <c r="C781" s="1">
        <v>45545</v>
      </c>
      <c r="D781" t="str">
        <f>CLEAN("6180-00-71")</f>
        <v>6180-00-71</v>
      </c>
      <c r="E781" t="str">
        <f t="shared" si="238"/>
        <v xml:space="preserve">303  </v>
      </c>
      <c r="F781" t="str">
        <f>CLEAN("$4,000,000 - $4,999,999  ")</f>
        <v xml:space="preserve">$4,000,000 - $4,999,999  </v>
      </c>
      <c r="G781" t="str">
        <f>CLEAN("LET")</f>
        <v>LET</v>
      </c>
      <c r="H781" t="str">
        <f>CLEAN("LET CONSTRUCTION         ")</f>
        <v xml:space="preserve">LET CONSTRUCTION         </v>
      </c>
      <c r="I781" t="str">
        <f>CLEAN("CONSTR/RESURFACE                   ")</f>
        <v xml:space="preserve">CONSTR/RESURFACE                   </v>
      </c>
      <c r="J781" t="str">
        <f t="shared" si="241"/>
        <v>STH 021</v>
      </c>
      <c r="K781" t="str">
        <f>CLEAN("WAUSHARA                      ")</f>
        <v xml:space="preserve">WAUSHARA                      </v>
      </c>
      <c r="L781" t="str">
        <f>CLEAN("REDGRANITE - OSHKOSH               ")</f>
        <v xml:space="preserve">REDGRANITE - OSHKOSH               </v>
      </c>
      <c r="M781" t="str">
        <f>CLEAN("STH 49 TO WINNEBAGO COUNTY LINE    ")</f>
        <v xml:space="preserve">STH 49 TO WINNEBAGO COUNTY LINE    </v>
      </c>
      <c r="N781">
        <v>4.99</v>
      </c>
      <c r="O781" t="str">
        <f>CLEAN("6180-00-60")</f>
        <v>6180-00-60</v>
      </c>
      <c r="P78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82" spans="1:16" x14ac:dyDescent="0.25">
      <c r="A782" t="str">
        <f t="shared" si="237"/>
        <v>10</v>
      </c>
      <c r="B782" t="str">
        <f>CLEAN("24")</f>
        <v>24</v>
      </c>
      <c r="C782" s="1">
        <v>45545</v>
      </c>
      <c r="D782" t="str">
        <f>CLEAN("6180-00-71")</f>
        <v>6180-00-71</v>
      </c>
      <c r="E782" t="str">
        <f t="shared" si="238"/>
        <v xml:space="preserve">303  </v>
      </c>
      <c r="F782" t="str">
        <f>CLEAN("$4,000,000 - $4,999,999  ")</f>
        <v xml:space="preserve">$4,000,000 - $4,999,999  </v>
      </c>
      <c r="G782" t="str">
        <f>CLEAN("LET")</f>
        <v>LET</v>
      </c>
      <c r="H782" t="str">
        <f>CLEAN("LET CONSTRUCTION         ")</f>
        <v xml:space="preserve">LET CONSTRUCTION         </v>
      </c>
      <c r="I782" t="str">
        <f>CLEAN("CONSTR/RESURFACE                   ")</f>
        <v xml:space="preserve">CONSTR/RESURFACE                   </v>
      </c>
      <c r="J782" t="str">
        <f t="shared" si="241"/>
        <v>STH 021</v>
      </c>
      <c r="K782" t="str">
        <f>CLEAN("WAUSHARA                      ")</f>
        <v xml:space="preserve">WAUSHARA                      </v>
      </c>
      <c r="L782" t="str">
        <f>CLEAN("REDGRANITE - OSHKOSH               ")</f>
        <v xml:space="preserve">REDGRANITE - OSHKOSH               </v>
      </c>
      <c r="M782" t="str">
        <f>CLEAN("STH 49 TO WINNEBAGO COUNTY LINE    ")</f>
        <v xml:space="preserve">STH 49 TO WINNEBAGO COUNTY LINE    </v>
      </c>
      <c r="N782">
        <v>4.99</v>
      </c>
      <c r="O782" t="str">
        <f>CLEAN("6180-00-60")</f>
        <v>6180-00-60</v>
      </c>
      <c r="P7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3" spans="1:16" x14ac:dyDescent="0.25">
      <c r="A783" t="str">
        <f t="shared" si="237"/>
        <v>10</v>
      </c>
      <c r="B783" t="str">
        <f>CLEAN("23")</f>
        <v>23</v>
      </c>
      <c r="C783" s="1">
        <v>45407</v>
      </c>
      <c r="D783" t="str">
        <f>CLEAN("6180-31-20")</f>
        <v>6180-31-20</v>
      </c>
      <c r="E783" t="str">
        <f t="shared" si="238"/>
        <v xml:space="preserve">303  </v>
      </c>
      <c r="F783" t="str">
        <f>CLEAN("$0 - $99,999             ")</f>
        <v xml:space="preserve">$0 - $99,999             </v>
      </c>
      <c r="G783" t="str">
        <f>CLEAN("R/E")</f>
        <v>R/E</v>
      </c>
      <c r="H783" t="str">
        <f>CLEAN("NONLET CONSTR/REAL ESTATE")</f>
        <v>NONLET CONSTR/REAL ESTATE</v>
      </c>
      <c r="I783" t="str">
        <f>CLEAN("RE OPS/RE ACQUISITION              ")</f>
        <v xml:space="preserve">RE OPS/RE ACQUISITION              </v>
      </c>
      <c r="J783" t="str">
        <f t="shared" si="241"/>
        <v>STH 021</v>
      </c>
      <c r="K783" t="str">
        <f>CLEAN("WINNEBAGO                     ")</f>
        <v xml:space="preserve">WINNEBAGO                     </v>
      </c>
      <c r="L783" t="str">
        <f>CLEAN("OMRO - OSHKOSH                     ")</f>
        <v xml:space="preserve">OMRO - OSHKOSH                     </v>
      </c>
      <c r="M783" t="str">
        <f>CLEAN("LEONARD POINT RD - WASHBURN STREET ")</f>
        <v xml:space="preserve">LEONARD POINT RD - WASHBURN STREET </v>
      </c>
      <c r="N783">
        <v>1.85</v>
      </c>
      <c r="O783" t="str">
        <f t="shared" ref="O783:O788" si="242">CLEAN("          ")</f>
        <v xml:space="preserve">          </v>
      </c>
      <c r="P78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4" spans="1:16" x14ac:dyDescent="0.25">
      <c r="A784" t="str">
        <f t="shared" si="237"/>
        <v>10</v>
      </c>
      <c r="B784" t="str">
        <f>CLEAN("23")</f>
        <v>23</v>
      </c>
      <c r="C784" s="1">
        <v>45407</v>
      </c>
      <c r="D784" t="str">
        <f>CLEAN("6185-02-70")</f>
        <v>6185-02-70</v>
      </c>
      <c r="E784" t="str">
        <f>CLEAN("206  ")</f>
        <v xml:space="preserve">206  </v>
      </c>
      <c r="F784" t="str">
        <f>CLEAN("$0 - $99,999             ")</f>
        <v xml:space="preserve">$0 - $99,999             </v>
      </c>
      <c r="G784" t="str">
        <f>CLEAN("MIS")</f>
        <v>MIS</v>
      </c>
      <c r="H784" t="str">
        <f>CLEAN("NONLET CONSTR/REAL ESTATE")</f>
        <v>NONLET CONSTR/REAL ESTATE</v>
      </c>
      <c r="I784" t="str">
        <f>CLEAN("CONST/CRP/MISC                     ")</f>
        <v xml:space="preserve">CONST/CRP/MISC                     </v>
      </c>
      <c r="J784" t="str">
        <f>CLEAN("LOC STR")</f>
        <v>LOC STR</v>
      </c>
      <c r="K784" t="str">
        <f>CLEAN("FOND DU LAC                   ")</f>
        <v xml:space="preserve">FOND DU LAC                   </v>
      </c>
      <c r="L784" t="str">
        <f>CLEAN("C RIPON, STREET LIGHTING           ")</f>
        <v xml:space="preserve">C RIPON, STREET LIGHTING           </v>
      </c>
      <c r="M784" t="str">
        <f>CLEAN("C RIPON, VARIOUS STREET LOCATIONS  ")</f>
        <v xml:space="preserve">C RIPON, VARIOUS STREET LOCATIONS  </v>
      </c>
      <c r="N784">
        <v>0</v>
      </c>
      <c r="O784" t="str">
        <f t="shared" si="242"/>
        <v xml:space="preserve">          </v>
      </c>
      <c r="P784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785" spans="1:16" x14ac:dyDescent="0.25">
      <c r="A785" t="str">
        <f t="shared" si="237"/>
        <v>10</v>
      </c>
      <c r="B785" t="str">
        <f>CLEAN("24")</f>
        <v>24</v>
      </c>
      <c r="C785" s="1">
        <v>45651</v>
      </c>
      <c r="D785" t="str">
        <f>CLEAN("6210-01-25")</f>
        <v>6210-01-25</v>
      </c>
      <c r="E785" t="str">
        <f>CLEAN("303  ")</f>
        <v xml:space="preserve">303  </v>
      </c>
      <c r="F785" t="str">
        <f>CLEAN("$0 - $99,999             ")</f>
        <v xml:space="preserve">$0 - $99,999             </v>
      </c>
      <c r="G785" t="str">
        <f>CLEAN("R/E")</f>
        <v>R/E</v>
      </c>
      <c r="H785" t="str">
        <f>CLEAN("NONLET CONSTR/REAL ESTATE")</f>
        <v>NONLET CONSTR/REAL ESTATE</v>
      </c>
      <c r="I785" t="str">
        <f>CLEAN("REAL ESTATE/RESURFACE              ")</f>
        <v xml:space="preserve">REAL ESTATE/RESURFACE              </v>
      </c>
      <c r="J785" t="str">
        <f>CLEAN("STH 049")</f>
        <v>STH 049</v>
      </c>
      <c r="K785" t="str">
        <f>CLEAN("WAUSHARA                      ")</f>
        <v xml:space="preserve">WAUSHARA                      </v>
      </c>
      <c r="L785" t="str">
        <f>CLEAN("AURORAVILLE - FREMONT              ")</f>
        <v xml:space="preserve">AURORAVILLE - FREMONT              </v>
      </c>
      <c r="M785" t="str">
        <f>CLEAN("STH 21 TO BEECHNUT LANE            ")</f>
        <v xml:space="preserve">STH 21 TO BEECHNUT LANE            </v>
      </c>
      <c r="N785">
        <v>6.4</v>
      </c>
      <c r="O785" t="str">
        <f t="shared" si="242"/>
        <v xml:space="preserve">          </v>
      </c>
      <c r="P78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6" spans="1:16" x14ac:dyDescent="0.25">
      <c r="A786" t="str">
        <f t="shared" si="237"/>
        <v>10</v>
      </c>
      <c r="B786" t="str">
        <f>CLEAN("21")</f>
        <v>21</v>
      </c>
      <c r="C786" s="1">
        <v>45608</v>
      </c>
      <c r="D786" t="str">
        <f>CLEAN("6215-00-73")</f>
        <v>6215-00-73</v>
      </c>
      <c r="E786" t="str">
        <f>CLEAN("205  ")</f>
        <v xml:space="preserve">205  </v>
      </c>
      <c r="F786" t="str">
        <f>CLEAN("$1,000,000 - $1,999,999  ")</f>
        <v xml:space="preserve">$1,000,000 - $1,999,999  </v>
      </c>
      <c r="G786" t="str">
        <f t="shared" ref="G786:G798" si="243">CLEAN("LET")</f>
        <v>LET</v>
      </c>
      <c r="H786" t="str">
        <f t="shared" ref="H786:H798" si="244">CLEAN("LET CONSTRUCTION         ")</f>
        <v xml:space="preserve">LET CONSTRUCTION         </v>
      </c>
      <c r="I786" t="str">
        <f>CLEAN("CONST OPS/BRIDGE REPLACEMENT       ")</f>
        <v xml:space="preserve">CONST OPS/BRIDGE REPLACEMENT       </v>
      </c>
      <c r="J786" t="str">
        <f>CLEAN("LOC STR")</f>
        <v>LOC STR</v>
      </c>
      <c r="K786" t="str">
        <f>CLEAN("COLUMBIA                      ")</f>
        <v xml:space="preserve">COLUMBIA                      </v>
      </c>
      <c r="L786" t="str">
        <f>CLEAN("TOWN OF SCOTT, INGLEHART RD        ")</f>
        <v xml:space="preserve">TOWN OF SCOTT, INGLEHART RD        </v>
      </c>
      <c r="M786" t="str">
        <f>CLEAN("UPRR BRIDGE, B-11-0178             ")</f>
        <v xml:space="preserve">UPRR BRIDGE, B-11-0178             </v>
      </c>
      <c r="N786">
        <v>8.7999999999999995E-2</v>
      </c>
      <c r="O786" t="str">
        <f t="shared" si="242"/>
        <v xml:space="preserve">          </v>
      </c>
      <c r="P78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87" spans="1:16" x14ac:dyDescent="0.25">
      <c r="A787" t="str">
        <f t="shared" si="237"/>
        <v>10</v>
      </c>
      <c r="B787" t="str">
        <f>CLEAN("24")</f>
        <v>24</v>
      </c>
      <c r="C787" s="1">
        <v>45363</v>
      </c>
      <c r="D787" t="str">
        <f>CLEAN("6220-01-76")</f>
        <v>6220-01-76</v>
      </c>
      <c r="E787" t="str">
        <f t="shared" ref="E787:E803" si="245">CLEAN("303  ")</f>
        <v xml:space="preserve">303  </v>
      </c>
      <c r="F787" t="str">
        <f>CLEAN("$1,000,000 - $1,999,999  ")</f>
        <v xml:space="preserve">$1,000,000 - $1,999,999  </v>
      </c>
      <c r="G787" t="str">
        <f t="shared" si="243"/>
        <v>LET</v>
      </c>
      <c r="H787" t="str">
        <f t="shared" si="244"/>
        <v xml:space="preserve">LET CONSTRUCTION         </v>
      </c>
      <c r="I787" t="str">
        <f>CLEAN("CONST/RESURFACE                    ")</f>
        <v xml:space="preserve">CONST/RESURFACE                    </v>
      </c>
      <c r="J787" t="str">
        <f>CLEAN("STH 022")</f>
        <v>STH 022</v>
      </c>
      <c r="K787" t="str">
        <f>CLEAN("WAUPACA                       ")</f>
        <v xml:space="preserve">WAUPACA                       </v>
      </c>
      <c r="L787" t="str">
        <f>CLEAN("CITY OF WAUPACA                    ")</f>
        <v xml:space="preserve">CITY OF WAUPACA                    </v>
      </c>
      <c r="M787" t="str">
        <f>CLEAN("USH 10 RAMPS TO WCL RR BRIDGE      ")</f>
        <v xml:space="preserve">USH 10 RAMPS TO WCL RR BRIDGE      </v>
      </c>
      <c r="N787">
        <v>1.91</v>
      </c>
      <c r="O787" t="str">
        <f t="shared" si="242"/>
        <v xml:space="preserve">          </v>
      </c>
      <c r="P78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88" spans="1:16" x14ac:dyDescent="0.25">
      <c r="A788" t="str">
        <f t="shared" si="237"/>
        <v>10</v>
      </c>
      <c r="B788" t="str">
        <f>CLEAN("24")</f>
        <v>24</v>
      </c>
      <c r="C788" s="1">
        <v>45363</v>
      </c>
      <c r="D788" t="str">
        <f>CLEAN("6220-01-76")</f>
        <v>6220-01-76</v>
      </c>
      <c r="E788" t="str">
        <f t="shared" si="245"/>
        <v xml:space="preserve">303  </v>
      </c>
      <c r="F788" t="str">
        <f>CLEAN("$1,000,000 - $1,999,999  ")</f>
        <v xml:space="preserve">$1,000,000 - $1,999,999  </v>
      </c>
      <c r="G788" t="str">
        <f t="shared" si="243"/>
        <v>LET</v>
      </c>
      <c r="H788" t="str">
        <f t="shared" si="244"/>
        <v xml:space="preserve">LET CONSTRUCTION         </v>
      </c>
      <c r="I788" t="str">
        <f>CLEAN("CONST/RESURFACE                    ")</f>
        <v xml:space="preserve">CONST/RESURFACE                    </v>
      </c>
      <c r="J788" t="str">
        <f>CLEAN("STH 022")</f>
        <v>STH 022</v>
      </c>
      <c r="K788" t="str">
        <f>CLEAN("WAUPACA                       ")</f>
        <v xml:space="preserve">WAUPACA                       </v>
      </c>
      <c r="L788" t="str">
        <f>CLEAN("CITY OF WAUPACA                    ")</f>
        <v xml:space="preserve">CITY OF WAUPACA                    </v>
      </c>
      <c r="M788" t="str">
        <f>CLEAN("USH 10 RAMPS TO WCL RR BRIDGE      ")</f>
        <v xml:space="preserve">USH 10 RAMPS TO WCL RR BRIDGE      </v>
      </c>
      <c r="N788">
        <v>1.91</v>
      </c>
      <c r="O788" t="str">
        <f t="shared" si="242"/>
        <v xml:space="preserve">          </v>
      </c>
      <c r="P78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9" spans="1:16" x14ac:dyDescent="0.25">
      <c r="A789" t="str">
        <f t="shared" si="237"/>
        <v>10</v>
      </c>
      <c r="B789" t="str">
        <f t="shared" ref="B789:B799" si="246">CLEAN("23")</f>
        <v>23</v>
      </c>
      <c r="C789" s="1">
        <v>45482</v>
      </c>
      <c r="D789" t="str">
        <f>CLEAN("6230-16-71")</f>
        <v>6230-16-71</v>
      </c>
      <c r="E789" t="str">
        <f t="shared" si="245"/>
        <v xml:space="preserve">303  </v>
      </c>
      <c r="F789" t="str">
        <f>CLEAN("$8,000,000 - $8,999,999  ")</f>
        <v xml:space="preserve">$8,000,000 - $8,999,999  </v>
      </c>
      <c r="G789" t="str">
        <f t="shared" si="243"/>
        <v>LET</v>
      </c>
      <c r="H789" t="str">
        <f t="shared" si="244"/>
        <v xml:space="preserve">LET CONSTRUCTION         </v>
      </c>
      <c r="I789" t="str">
        <f>CLEAN("CONST OPS/RESURF/HSIP              ")</f>
        <v xml:space="preserve">CONST OPS/RESURF/HSIP              </v>
      </c>
      <c r="J789" t="str">
        <f>CLEAN("STH 054")</f>
        <v>STH 054</v>
      </c>
      <c r="K789" t="str">
        <f t="shared" ref="K789:K799" si="247">CLEAN("OUTAGAMIE                     ")</f>
        <v xml:space="preserve">OUTAGAMIE                     </v>
      </c>
      <c r="L789" t="str">
        <f>CLEAN("NEW LONDON-SHIOCTON                ")</f>
        <v xml:space="preserve">NEW LONDON-SHIOCTON                </v>
      </c>
      <c r="M789" t="str">
        <f>CLEAN("WCL-PARK AVENUE                    ")</f>
        <v xml:space="preserve">WCL-PARK AVENUE                    </v>
      </c>
      <c r="N789">
        <v>8.6859999999999999</v>
      </c>
      <c r="O789" t="str">
        <f>CLEAN("6240-29-71")</f>
        <v>6240-29-71</v>
      </c>
      <c r="P78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0" spans="1:16" x14ac:dyDescent="0.25">
      <c r="A790" t="str">
        <f t="shared" si="237"/>
        <v>10</v>
      </c>
      <c r="B790" t="str">
        <f t="shared" si="246"/>
        <v>23</v>
      </c>
      <c r="C790" s="1">
        <v>45482</v>
      </c>
      <c r="D790" t="str">
        <f>CLEAN("6230-16-71")</f>
        <v>6230-16-71</v>
      </c>
      <c r="E790" t="str">
        <f t="shared" si="245"/>
        <v xml:space="preserve">303  </v>
      </c>
      <c r="F790" t="str">
        <f>CLEAN("$8,000,000 - $8,999,999  ")</f>
        <v xml:space="preserve">$8,000,000 - $8,999,999  </v>
      </c>
      <c r="G790" t="str">
        <f t="shared" si="243"/>
        <v>LET</v>
      </c>
      <c r="H790" t="str">
        <f t="shared" si="244"/>
        <v xml:space="preserve">LET CONSTRUCTION         </v>
      </c>
      <c r="I790" t="str">
        <f>CLEAN("CONST OPS/RESURF/HSIP              ")</f>
        <v xml:space="preserve">CONST OPS/RESURF/HSIP              </v>
      </c>
      <c r="J790" t="str">
        <f>CLEAN("STH 054")</f>
        <v>STH 054</v>
      </c>
      <c r="K790" t="str">
        <f t="shared" si="247"/>
        <v xml:space="preserve">OUTAGAMIE                     </v>
      </c>
      <c r="L790" t="str">
        <f>CLEAN("NEW LONDON-SHIOCTON                ")</f>
        <v xml:space="preserve">NEW LONDON-SHIOCTON                </v>
      </c>
      <c r="M790" t="str">
        <f>CLEAN("WCL-PARK AVENUE                    ")</f>
        <v xml:space="preserve">WCL-PARK AVENUE                    </v>
      </c>
      <c r="N790">
        <v>8.6859999999999999</v>
      </c>
      <c r="O790" t="str">
        <f>CLEAN("6240-29-71")</f>
        <v>6240-29-71</v>
      </c>
      <c r="P79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1" spans="1:16" x14ac:dyDescent="0.25">
      <c r="A791" t="str">
        <f t="shared" si="237"/>
        <v>10</v>
      </c>
      <c r="B791" t="str">
        <f t="shared" si="246"/>
        <v>23</v>
      </c>
      <c r="C791" s="1">
        <v>45482</v>
      </c>
      <c r="D791" t="str">
        <f>CLEAN("6230-16-71")</f>
        <v>6230-16-71</v>
      </c>
      <c r="E791" t="str">
        <f t="shared" si="245"/>
        <v xml:space="preserve">303  </v>
      </c>
      <c r="F791" t="str">
        <f>CLEAN("$8,000,000 - $8,999,999  ")</f>
        <v xml:space="preserve">$8,000,000 - $8,999,999  </v>
      </c>
      <c r="G791" t="str">
        <f t="shared" si="243"/>
        <v>LET</v>
      </c>
      <c r="H791" t="str">
        <f t="shared" si="244"/>
        <v xml:space="preserve">LET CONSTRUCTION         </v>
      </c>
      <c r="I791" t="str">
        <f>CLEAN("CONST OPS/RESURF/HSIP              ")</f>
        <v xml:space="preserve">CONST OPS/RESURF/HSIP              </v>
      </c>
      <c r="J791" t="str">
        <f>CLEAN("STH 054")</f>
        <v>STH 054</v>
      </c>
      <c r="K791" t="str">
        <f t="shared" si="247"/>
        <v xml:space="preserve">OUTAGAMIE                     </v>
      </c>
      <c r="L791" t="str">
        <f>CLEAN("NEW LONDON-SHIOCTON                ")</f>
        <v xml:space="preserve">NEW LONDON-SHIOCTON                </v>
      </c>
      <c r="M791" t="str">
        <f>CLEAN("WCL-PARK AVENUE                    ")</f>
        <v xml:space="preserve">WCL-PARK AVENUE                    </v>
      </c>
      <c r="N791">
        <v>8.6859999999999999</v>
      </c>
      <c r="O791" t="str">
        <f>CLEAN("6240-30-71")</f>
        <v>6240-30-71</v>
      </c>
      <c r="P79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2" spans="1:16" x14ac:dyDescent="0.25">
      <c r="A792" t="str">
        <f t="shared" si="237"/>
        <v>10</v>
      </c>
      <c r="B792" t="str">
        <f t="shared" si="246"/>
        <v>23</v>
      </c>
      <c r="C792" s="1">
        <v>45482</v>
      </c>
      <c r="D792" t="str">
        <f>CLEAN("6230-16-71")</f>
        <v>6230-16-71</v>
      </c>
      <c r="E792" t="str">
        <f t="shared" si="245"/>
        <v xml:space="preserve">303  </v>
      </c>
      <c r="F792" t="str">
        <f>CLEAN("$8,000,000 - $8,999,999  ")</f>
        <v xml:space="preserve">$8,000,000 - $8,999,999  </v>
      </c>
      <c r="G792" t="str">
        <f t="shared" si="243"/>
        <v>LET</v>
      </c>
      <c r="H792" t="str">
        <f t="shared" si="244"/>
        <v xml:space="preserve">LET CONSTRUCTION         </v>
      </c>
      <c r="I792" t="str">
        <f>CLEAN("CONST OPS/RESURF/HSIP              ")</f>
        <v xml:space="preserve">CONST OPS/RESURF/HSIP              </v>
      </c>
      <c r="J792" t="str">
        <f>CLEAN("STH 054")</f>
        <v>STH 054</v>
      </c>
      <c r="K792" t="str">
        <f t="shared" si="247"/>
        <v xml:space="preserve">OUTAGAMIE                     </v>
      </c>
      <c r="L792" t="str">
        <f>CLEAN("NEW LONDON-SHIOCTON                ")</f>
        <v xml:space="preserve">NEW LONDON-SHIOCTON                </v>
      </c>
      <c r="M792" t="str">
        <f>CLEAN("WCL-PARK AVENUE                    ")</f>
        <v xml:space="preserve">WCL-PARK AVENUE                    </v>
      </c>
      <c r="N792">
        <v>8.6859999999999999</v>
      </c>
      <c r="O792" t="str">
        <f>CLEAN("6240-30-71")</f>
        <v>6240-30-71</v>
      </c>
      <c r="P79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3" spans="1:16" x14ac:dyDescent="0.25">
      <c r="A793" t="str">
        <f t="shared" si="237"/>
        <v>10</v>
      </c>
      <c r="B793" t="str">
        <f t="shared" si="246"/>
        <v>23</v>
      </c>
      <c r="C793" s="1">
        <v>45482</v>
      </c>
      <c r="D793" t="str">
        <f>CLEAN("6240-29-71")</f>
        <v>6240-29-71</v>
      </c>
      <c r="E793" t="str">
        <f t="shared" si="245"/>
        <v xml:space="preserve">303  </v>
      </c>
      <c r="F793" t="str">
        <f>CLEAN("$500,000 - $749,999      ")</f>
        <v xml:space="preserve">$500,000 - $749,999      </v>
      </c>
      <c r="G793" t="str">
        <f t="shared" si="243"/>
        <v>LET</v>
      </c>
      <c r="H793" t="str">
        <f t="shared" si="244"/>
        <v xml:space="preserve">LET CONSTRUCTION         </v>
      </c>
      <c r="I793" t="str">
        <f>CLEAN("CONST OPS/RESURFACE                ")</f>
        <v xml:space="preserve">CONST OPS/RESURFACE                </v>
      </c>
      <c r="J793" t="str">
        <f t="shared" ref="J793:J799" si="248">CLEAN("STH 047")</f>
        <v>STH 047</v>
      </c>
      <c r="K793" t="str">
        <f t="shared" si="247"/>
        <v xml:space="preserve">OUTAGAMIE                     </v>
      </c>
      <c r="L793" t="str">
        <f>CLEAN("S MAIN STREET, V OF BLACK CREEK    ")</f>
        <v xml:space="preserve">S MAIN STREET, V OF BLACK CREEK    </v>
      </c>
      <c r="M793" t="str">
        <f>CLEAN("CTH B-BURDICK STREET               ")</f>
        <v xml:space="preserve">CTH B-BURDICK STREET               </v>
      </c>
      <c r="N793">
        <v>0.48</v>
      </c>
      <c r="O793" t="str">
        <f>CLEAN("6230-16-71")</f>
        <v>6230-16-71</v>
      </c>
      <c r="P79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4" spans="1:16" x14ac:dyDescent="0.25">
      <c r="A794" t="str">
        <f t="shared" si="237"/>
        <v>10</v>
      </c>
      <c r="B794" t="str">
        <f t="shared" si="246"/>
        <v>23</v>
      </c>
      <c r="C794" s="1">
        <v>45482</v>
      </c>
      <c r="D794" t="str">
        <f>CLEAN("6240-29-71")</f>
        <v>6240-29-71</v>
      </c>
      <c r="E794" t="str">
        <f t="shared" si="245"/>
        <v xml:space="preserve">303  </v>
      </c>
      <c r="F794" t="str">
        <f>CLEAN("$500,000 - $749,999      ")</f>
        <v xml:space="preserve">$500,000 - $749,999      </v>
      </c>
      <c r="G794" t="str">
        <f t="shared" si="243"/>
        <v>LET</v>
      </c>
      <c r="H794" t="str">
        <f t="shared" si="244"/>
        <v xml:space="preserve">LET CONSTRUCTION         </v>
      </c>
      <c r="I794" t="str">
        <f>CLEAN("CONST OPS/RESURFACE                ")</f>
        <v xml:space="preserve">CONST OPS/RESURFACE                </v>
      </c>
      <c r="J794" t="str">
        <f t="shared" si="248"/>
        <v>STH 047</v>
      </c>
      <c r="K794" t="str">
        <f t="shared" si="247"/>
        <v xml:space="preserve">OUTAGAMIE                     </v>
      </c>
      <c r="L794" t="str">
        <f>CLEAN("S MAIN STREET, V OF BLACK CREEK    ")</f>
        <v xml:space="preserve">S MAIN STREET, V OF BLACK CREEK    </v>
      </c>
      <c r="M794" t="str">
        <f>CLEAN("CTH B-BURDICK STREET               ")</f>
        <v xml:space="preserve">CTH B-BURDICK STREET               </v>
      </c>
      <c r="N794">
        <v>0.48</v>
      </c>
      <c r="O794" t="str">
        <f>CLEAN("6240-30-71")</f>
        <v>6240-30-71</v>
      </c>
      <c r="P79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5" spans="1:16" x14ac:dyDescent="0.25">
      <c r="A795" t="str">
        <f t="shared" si="237"/>
        <v>10</v>
      </c>
      <c r="B795" t="str">
        <f t="shared" si="246"/>
        <v>23</v>
      </c>
      <c r="C795" s="1">
        <v>45482</v>
      </c>
      <c r="D795" t="str">
        <f>CLEAN("6240-30-71")</f>
        <v>6240-30-71</v>
      </c>
      <c r="E795" t="str">
        <f t="shared" si="245"/>
        <v xml:space="preserve">303  </v>
      </c>
      <c r="F795" t="str">
        <f>CLEAN("$4,000,000 - $4,999,999  ")</f>
        <v xml:space="preserve">$4,000,000 - $4,999,999  </v>
      </c>
      <c r="G795" t="str">
        <f t="shared" si="243"/>
        <v>LET</v>
      </c>
      <c r="H795" t="str">
        <f t="shared" si="244"/>
        <v xml:space="preserve">LET CONSTRUCTION         </v>
      </c>
      <c r="I795" t="str">
        <f>CLEAN("CONST/RSRF HSIP                    ")</f>
        <v xml:space="preserve">CONST/RSRF HSIP                    </v>
      </c>
      <c r="J795" t="str">
        <f t="shared" si="248"/>
        <v>STH 047</v>
      </c>
      <c r="K795" t="str">
        <f t="shared" si="247"/>
        <v xml:space="preserve">OUTAGAMIE                     </v>
      </c>
      <c r="L795" t="str">
        <f>CLEAN("BLACK CREEK - BONDUEL              ")</f>
        <v xml:space="preserve">BLACK CREEK - BONDUEL              </v>
      </c>
      <c r="M795" t="str">
        <f>CLEAN("BURDICK ST - NCL                   ")</f>
        <v xml:space="preserve">BURDICK ST - NCL                   </v>
      </c>
      <c r="N795">
        <v>8.0549999999999997</v>
      </c>
      <c r="O795" t="str">
        <f>CLEAN("6230-16-71")</f>
        <v>6230-16-71</v>
      </c>
      <c r="P79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6" spans="1:16" x14ac:dyDescent="0.25">
      <c r="A796" t="str">
        <f t="shared" si="237"/>
        <v>10</v>
      </c>
      <c r="B796" t="str">
        <f t="shared" si="246"/>
        <v>23</v>
      </c>
      <c r="C796" s="1">
        <v>45482</v>
      </c>
      <c r="D796" t="str">
        <f>CLEAN("6240-30-71")</f>
        <v>6240-30-71</v>
      </c>
      <c r="E796" t="str">
        <f t="shared" si="245"/>
        <v xml:space="preserve">303  </v>
      </c>
      <c r="F796" t="str">
        <f>CLEAN("$4,000,000 - $4,999,999  ")</f>
        <v xml:space="preserve">$4,000,000 - $4,999,999  </v>
      </c>
      <c r="G796" t="str">
        <f t="shared" si="243"/>
        <v>LET</v>
      </c>
      <c r="H796" t="str">
        <f t="shared" si="244"/>
        <v xml:space="preserve">LET CONSTRUCTION         </v>
      </c>
      <c r="I796" t="str">
        <f>CLEAN("CONST/RSRF HSIP                    ")</f>
        <v xml:space="preserve">CONST/RSRF HSIP                    </v>
      </c>
      <c r="J796" t="str">
        <f t="shared" si="248"/>
        <v>STH 047</v>
      </c>
      <c r="K796" t="str">
        <f t="shared" si="247"/>
        <v xml:space="preserve">OUTAGAMIE                     </v>
      </c>
      <c r="L796" t="str">
        <f>CLEAN("BLACK CREEK - BONDUEL              ")</f>
        <v xml:space="preserve">BLACK CREEK - BONDUEL              </v>
      </c>
      <c r="M796" t="str">
        <f>CLEAN("BURDICK ST - NCL                   ")</f>
        <v xml:space="preserve">BURDICK ST - NCL                   </v>
      </c>
      <c r="N796">
        <v>8.0549999999999997</v>
      </c>
      <c r="O796" t="str">
        <f>CLEAN("6230-16-71")</f>
        <v>6230-16-71</v>
      </c>
      <c r="P79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7" spans="1:16" x14ac:dyDescent="0.25">
      <c r="A797" t="str">
        <f t="shared" si="237"/>
        <v>10</v>
      </c>
      <c r="B797" t="str">
        <f t="shared" si="246"/>
        <v>23</v>
      </c>
      <c r="C797" s="1">
        <v>45482</v>
      </c>
      <c r="D797" t="str">
        <f>CLEAN("6240-30-71")</f>
        <v>6240-30-71</v>
      </c>
      <c r="E797" t="str">
        <f t="shared" si="245"/>
        <v xml:space="preserve">303  </v>
      </c>
      <c r="F797" t="str">
        <f>CLEAN("$4,000,000 - $4,999,999  ")</f>
        <v xml:space="preserve">$4,000,000 - $4,999,999  </v>
      </c>
      <c r="G797" t="str">
        <f t="shared" si="243"/>
        <v>LET</v>
      </c>
      <c r="H797" t="str">
        <f t="shared" si="244"/>
        <v xml:space="preserve">LET CONSTRUCTION         </v>
      </c>
      <c r="I797" t="str">
        <f>CLEAN("CONST/RSRF HSIP                    ")</f>
        <v xml:space="preserve">CONST/RSRF HSIP                    </v>
      </c>
      <c r="J797" t="str">
        <f t="shared" si="248"/>
        <v>STH 047</v>
      </c>
      <c r="K797" t="str">
        <f t="shared" si="247"/>
        <v xml:space="preserve">OUTAGAMIE                     </v>
      </c>
      <c r="L797" t="str">
        <f>CLEAN("BLACK CREEK - BONDUEL              ")</f>
        <v xml:space="preserve">BLACK CREEK - BONDUEL              </v>
      </c>
      <c r="M797" t="str">
        <f>CLEAN("BURDICK ST - NCL                   ")</f>
        <v xml:space="preserve">BURDICK ST - NCL                   </v>
      </c>
      <c r="N797">
        <v>8.0549999999999997</v>
      </c>
      <c r="O797" t="str">
        <f>CLEAN("6240-29-71")</f>
        <v>6240-29-71</v>
      </c>
      <c r="P79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8" spans="1:16" x14ac:dyDescent="0.25">
      <c r="A798" t="str">
        <f t="shared" si="237"/>
        <v>10</v>
      </c>
      <c r="B798" t="str">
        <f t="shared" si="246"/>
        <v>23</v>
      </c>
      <c r="C798" s="1">
        <v>45482</v>
      </c>
      <c r="D798" t="str">
        <f>CLEAN("6240-30-71")</f>
        <v>6240-30-71</v>
      </c>
      <c r="E798" t="str">
        <f t="shared" si="245"/>
        <v xml:space="preserve">303  </v>
      </c>
      <c r="F798" t="str">
        <f>CLEAN("$4,000,000 - $4,999,999  ")</f>
        <v xml:space="preserve">$4,000,000 - $4,999,999  </v>
      </c>
      <c r="G798" t="str">
        <f t="shared" si="243"/>
        <v>LET</v>
      </c>
      <c r="H798" t="str">
        <f t="shared" si="244"/>
        <v xml:space="preserve">LET CONSTRUCTION         </v>
      </c>
      <c r="I798" t="str">
        <f>CLEAN("CONST/RSRF HSIP                    ")</f>
        <v xml:space="preserve">CONST/RSRF HSIP                    </v>
      </c>
      <c r="J798" t="str">
        <f t="shared" si="248"/>
        <v>STH 047</v>
      </c>
      <c r="K798" t="str">
        <f t="shared" si="247"/>
        <v xml:space="preserve">OUTAGAMIE                     </v>
      </c>
      <c r="L798" t="str">
        <f>CLEAN("BLACK CREEK - BONDUEL              ")</f>
        <v xml:space="preserve">BLACK CREEK - BONDUEL              </v>
      </c>
      <c r="M798" t="str">
        <f>CLEAN("BURDICK ST - NCL                   ")</f>
        <v xml:space="preserve">BURDICK ST - NCL                   </v>
      </c>
      <c r="N798">
        <v>8.0549999999999997</v>
      </c>
      <c r="O798" t="str">
        <f>CLEAN("6240-29-71")</f>
        <v>6240-29-71</v>
      </c>
      <c r="P7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9" spans="1:16" x14ac:dyDescent="0.25">
      <c r="A799" t="str">
        <f t="shared" si="237"/>
        <v>10</v>
      </c>
      <c r="B799" t="str">
        <f t="shared" si="246"/>
        <v>23</v>
      </c>
      <c r="C799" s="1">
        <v>45285</v>
      </c>
      <c r="D799" t="str">
        <f>CLEAN("6240-31-40")</f>
        <v>6240-31-40</v>
      </c>
      <c r="E799" t="str">
        <f t="shared" si="245"/>
        <v xml:space="preserve">303  </v>
      </c>
      <c r="F799" t="str">
        <f>CLEAN("$0 - $99,999             ")</f>
        <v xml:space="preserve">$0 - $99,999             </v>
      </c>
      <c r="G799" t="str">
        <f>CLEAN("UTL")</f>
        <v>UTL</v>
      </c>
      <c r="H799" t="str">
        <f>CLEAN("NONLET CONSTR/REAL ESTATE")</f>
        <v>NONLET CONSTR/REAL ESTATE</v>
      </c>
      <c r="I799" t="str">
        <f>CLEAN("UTL RELOCATION/MISC                ")</f>
        <v xml:space="preserve">UTL RELOCATION/MISC                </v>
      </c>
      <c r="J799" t="str">
        <f t="shared" si="248"/>
        <v>STH 047</v>
      </c>
      <c r="K799" t="str">
        <f t="shared" si="247"/>
        <v xml:space="preserve">OUTAGAMIE                     </v>
      </c>
      <c r="L799" t="str">
        <f>CLEAN("V BLACK CREEK, STH 47              ")</f>
        <v xml:space="preserve">V BLACK CREEK, STH 47              </v>
      </c>
      <c r="M799" t="str">
        <f>CLEAN("STORM SEWER IMPROVEMENT            ")</f>
        <v xml:space="preserve">STORM SEWER IMPROVEMENT            </v>
      </c>
      <c r="N799">
        <v>0.77800000000000002</v>
      </c>
      <c r="O799" t="str">
        <f>CLEAN("          ")</f>
        <v xml:space="preserve">          </v>
      </c>
      <c r="P79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0" spans="1:16" x14ac:dyDescent="0.25">
      <c r="A800" t="str">
        <f t="shared" si="237"/>
        <v>10</v>
      </c>
      <c r="B800" t="str">
        <f>CLEAN("24")</f>
        <v>24</v>
      </c>
      <c r="C800" s="1">
        <v>45529</v>
      </c>
      <c r="D800" t="str">
        <f>CLEAN("6270-00-26")</f>
        <v>6270-00-26</v>
      </c>
      <c r="E800" t="str">
        <f t="shared" si="245"/>
        <v xml:space="preserve">303  </v>
      </c>
      <c r="F800" t="str">
        <f>CLEAN("$100,000-$249,999        ")</f>
        <v xml:space="preserve">$100,000-$249,999        </v>
      </c>
      <c r="G800" t="str">
        <f>CLEAN("R/E")</f>
        <v>R/E</v>
      </c>
      <c r="H800" t="str">
        <f>CLEAN("NONLET CONSTR/REAL ESTATE")</f>
        <v>NONLET CONSTR/REAL ESTATE</v>
      </c>
      <c r="I800" t="str">
        <f>CLEAN("REAL ESTATE/RECONSTRUCT            ")</f>
        <v xml:space="preserve">REAL ESTATE/RECONSTRUCT            </v>
      </c>
      <c r="J800" t="str">
        <f>CLEAN("STH 049")</f>
        <v>STH 049</v>
      </c>
      <c r="K800" t="str">
        <f>CLEAN("MARATHON                      ")</f>
        <v xml:space="preserve">MARATHON                      </v>
      </c>
      <c r="L800" t="str">
        <f>CLEAN("NORTHLAND - STH 29                 ")</f>
        <v xml:space="preserve">NORTHLAND - STH 29                 </v>
      </c>
      <c r="M800" t="str">
        <f>CLEAN("STH 66 TO STH 29                   ")</f>
        <v xml:space="preserve">STH 66 TO STH 29                   </v>
      </c>
      <c r="N800">
        <v>14.28</v>
      </c>
      <c r="O800" t="str">
        <f>CLEAN("          ")</f>
        <v xml:space="preserve">          </v>
      </c>
      <c r="P8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1" spans="1:16" x14ac:dyDescent="0.25">
      <c r="A801" t="str">
        <f t="shared" si="237"/>
        <v>10</v>
      </c>
      <c r="B801" t="str">
        <f>CLEAN("24")</f>
        <v>24</v>
      </c>
      <c r="C801" s="1">
        <v>45545</v>
      </c>
      <c r="D801" t="str">
        <f>CLEAN("6280-02-76")</f>
        <v>6280-02-76</v>
      </c>
      <c r="E801" t="str">
        <f t="shared" si="245"/>
        <v xml:space="preserve">303  </v>
      </c>
      <c r="F801" t="str">
        <f>CLEAN("$250,000 - $499,999      ")</f>
        <v xml:space="preserve">$250,000 - $499,999      </v>
      </c>
      <c r="G801" t="str">
        <f>CLEAN("LET")</f>
        <v>LET</v>
      </c>
      <c r="H801" t="str">
        <f>CLEAN("LET CONSTRUCTION         ")</f>
        <v xml:space="preserve">LET CONSTRUCTION         </v>
      </c>
      <c r="I801" t="str">
        <f>CLEAN("CONST/CONCRETE OVERLAY             ")</f>
        <v xml:space="preserve">CONST/CONCRETE OVERLAY             </v>
      </c>
      <c r="J801" t="str">
        <f>CLEAN("STH 066")</f>
        <v>STH 066</v>
      </c>
      <c r="K801" t="str">
        <f>CLEAN("PORTAGE                       ")</f>
        <v xml:space="preserve">PORTAGE                       </v>
      </c>
      <c r="L801" t="str">
        <f>CLEAN("STEVENS POINT - ROSHOLT            ")</f>
        <v xml:space="preserve">STEVENS POINT - ROSHOLT            </v>
      </c>
      <c r="M801" t="str">
        <f>CLEAN("BRIDGE OVERLAYS B-49-0073, 0074    ")</f>
        <v xml:space="preserve">BRIDGE OVERLAYS B-49-0073, 0074    </v>
      </c>
      <c r="N801">
        <v>0</v>
      </c>
      <c r="O801" t="str">
        <f>CLEAN("6280-02-77")</f>
        <v>6280-02-77</v>
      </c>
      <c r="P80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02" spans="1:16" x14ac:dyDescent="0.25">
      <c r="A802" t="str">
        <f t="shared" si="237"/>
        <v>10</v>
      </c>
      <c r="B802" t="str">
        <f>CLEAN("24")</f>
        <v>24</v>
      </c>
      <c r="C802" s="1">
        <v>45545</v>
      </c>
      <c r="D802" t="str">
        <f>CLEAN("6280-02-77")</f>
        <v>6280-02-77</v>
      </c>
      <c r="E802" t="str">
        <f t="shared" si="245"/>
        <v xml:space="preserve">303  </v>
      </c>
      <c r="F802" t="str">
        <f>CLEAN("$3,000,000 - $3,999,999  ")</f>
        <v xml:space="preserve">$3,000,000 - $3,999,999  </v>
      </c>
      <c r="G802" t="str">
        <f>CLEAN("LET")</f>
        <v>LET</v>
      </c>
      <c r="H802" t="str">
        <f>CLEAN("LET CONSTRUCTION         ")</f>
        <v xml:space="preserve">LET CONSTRUCTION         </v>
      </c>
      <c r="I802" t="str">
        <f>CLEAN("CONST/RESURFACE                    ")</f>
        <v xml:space="preserve">CONST/RESURFACE                    </v>
      </c>
      <c r="J802" t="str">
        <f>CLEAN("STH 066")</f>
        <v>STH 066</v>
      </c>
      <c r="K802" t="str">
        <f>CLEAN("PORTAGE                       ")</f>
        <v xml:space="preserve">PORTAGE                       </v>
      </c>
      <c r="L802" t="str">
        <f>CLEAN("STEVENS POINT - ROSHOLT            ")</f>
        <v xml:space="preserve">STEVENS POINT - ROSHOLT            </v>
      </c>
      <c r="M802" t="str">
        <f>CLEAN("STEVENS PT AIRPORT TO E JCT CTH J  ")</f>
        <v xml:space="preserve">STEVENS PT AIRPORT TO E JCT CTH J  </v>
      </c>
      <c r="N802">
        <v>6.01</v>
      </c>
      <c r="O802" t="str">
        <f>CLEAN("6280-02-76")</f>
        <v>6280-02-76</v>
      </c>
      <c r="P80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3" spans="1:16" x14ac:dyDescent="0.25">
      <c r="A803" t="str">
        <f t="shared" si="237"/>
        <v>10</v>
      </c>
      <c r="B803" t="str">
        <f>CLEAN("24")</f>
        <v>24</v>
      </c>
      <c r="C803" s="1">
        <v>45545</v>
      </c>
      <c r="D803" t="str">
        <f>CLEAN("6280-02-77")</f>
        <v>6280-02-77</v>
      </c>
      <c r="E803" t="str">
        <f t="shared" si="245"/>
        <v xml:space="preserve">303  </v>
      </c>
      <c r="F803" t="str">
        <f>CLEAN("$3,000,000 - $3,999,999  ")</f>
        <v xml:space="preserve">$3,000,000 - $3,999,999  </v>
      </c>
      <c r="G803" t="str">
        <f>CLEAN("LET")</f>
        <v>LET</v>
      </c>
      <c r="H803" t="str">
        <f>CLEAN("LET CONSTRUCTION         ")</f>
        <v xml:space="preserve">LET CONSTRUCTION         </v>
      </c>
      <c r="I803" t="str">
        <f>CLEAN("CONST/RESURFACE                    ")</f>
        <v xml:space="preserve">CONST/RESURFACE                    </v>
      </c>
      <c r="J803" t="str">
        <f>CLEAN("STH 066")</f>
        <v>STH 066</v>
      </c>
      <c r="K803" t="str">
        <f>CLEAN("PORTAGE                       ")</f>
        <v xml:space="preserve">PORTAGE                       </v>
      </c>
      <c r="L803" t="str">
        <f>CLEAN("STEVENS POINT - ROSHOLT            ")</f>
        <v xml:space="preserve">STEVENS POINT - ROSHOLT            </v>
      </c>
      <c r="M803" t="str">
        <f>CLEAN("STEVENS PT AIRPORT TO E JCT CTH J  ")</f>
        <v xml:space="preserve">STEVENS PT AIRPORT TO E JCT CTH J  </v>
      </c>
      <c r="N803">
        <v>6.01</v>
      </c>
      <c r="O803" t="str">
        <f>CLEAN("6280-02-76")</f>
        <v>6280-02-76</v>
      </c>
      <c r="P80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4" spans="1:16" x14ac:dyDescent="0.25">
      <c r="A804" t="str">
        <f t="shared" si="237"/>
        <v>10</v>
      </c>
      <c r="B804" t="str">
        <f>CLEAN("23")</f>
        <v>23</v>
      </c>
      <c r="C804" s="1">
        <v>45335</v>
      </c>
      <c r="D804" t="str">
        <f>CLEAN("6296-02-71")</f>
        <v>6296-02-71</v>
      </c>
      <c r="E804" t="str">
        <f>CLEAN("205  ")</f>
        <v xml:space="preserve">205  </v>
      </c>
      <c r="F804" t="str">
        <f>CLEAN("$500,000 - $749,999      ")</f>
        <v xml:space="preserve">$500,000 - $749,999      </v>
      </c>
      <c r="G804" t="str">
        <f>CLEAN("LET")</f>
        <v>LET</v>
      </c>
      <c r="H804" t="str">
        <f>CLEAN("LET CONSTRUCTION         ")</f>
        <v xml:space="preserve">LET CONSTRUCTION         </v>
      </c>
      <c r="I804" t="str">
        <f>CLEAN("CONST OPS/BRRPL/B-20-0252          ")</f>
        <v xml:space="preserve">CONST OPS/BRRPL/B-20-0252          </v>
      </c>
      <c r="J804" t="str">
        <f>CLEAN("CTH M  ")</f>
        <v xml:space="preserve">CTH M  </v>
      </c>
      <c r="K804" t="str">
        <f>CLEAN("FOND DU LAC                   ")</f>
        <v xml:space="preserve">FOND DU LAC                   </v>
      </c>
      <c r="L804" t="str">
        <f>CLEAN("T ROSENDALE, CTH M                 ")</f>
        <v xml:space="preserve">T ROSENDALE, CTH M                 </v>
      </c>
      <c r="M804" t="str">
        <f>CLEAN("FOND DU LAC RIVER BRIDGE           ")</f>
        <v xml:space="preserve">FOND DU LAC RIVER BRIDGE           </v>
      </c>
      <c r="N804">
        <v>5.6000000000000001E-2</v>
      </c>
      <c r="O804" t="str">
        <f t="shared" ref="O804:O815" si="249">CLEAN("          ")</f>
        <v xml:space="preserve">          </v>
      </c>
      <c r="P80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05" spans="1:16" x14ac:dyDescent="0.25">
      <c r="A805" t="str">
        <f t="shared" si="237"/>
        <v>10</v>
      </c>
      <c r="B805" t="str">
        <f>CLEAN("24")</f>
        <v>24</v>
      </c>
      <c r="C805" s="1">
        <v>45335</v>
      </c>
      <c r="D805" t="str">
        <f>CLEAN("6320-00-75")</f>
        <v>6320-00-75</v>
      </c>
      <c r="E805" t="str">
        <f>CLEAN("303  ")</f>
        <v xml:space="preserve">303  </v>
      </c>
      <c r="F805" t="str">
        <f>CLEAN("$1,000,000 - $1,999,999  ")</f>
        <v xml:space="preserve">$1,000,000 - $1,999,999  </v>
      </c>
      <c r="G805" t="str">
        <f>CLEAN("LET")</f>
        <v>LET</v>
      </c>
      <c r="H805" t="str">
        <f>CLEAN("LET CONSTRUCTION         ")</f>
        <v xml:space="preserve">LET CONSTRUCTION         </v>
      </c>
      <c r="I805" t="str">
        <f>CLEAN("CONST/RESURFACE                    ")</f>
        <v xml:space="preserve">CONST/RESURFACE                    </v>
      </c>
      <c r="J805" t="str">
        <f>CLEAN("STH 073")</f>
        <v>STH 073</v>
      </c>
      <c r="K805" t="str">
        <f>CLEAN("WOOD                          ")</f>
        <v xml:space="preserve">WOOD                          </v>
      </c>
      <c r="L805" t="str">
        <f>CLEAN("PLAINFIELD - WISCONSIN RAPIDS      ")</f>
        <v xml:space="preserve">PLAINFIELD - WISCONSIN RAPIDS      </v>
      </c>
      <c r="M805" t="str">
        <f>CLEAN("STH 173 TO STH 54                  ")</f>
        <v xml:space="preserve">STH 173 TO STH 54                  </v>
      </c>
      <c r="N805">
        <v>2</v>
      </c>
      <c r="O805" t="str">
        <f t="shared" si="249"/>
        <v xml:space="preserve">          </v>
      </c>
      <c r="P80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6" spans="1:16" x14ac:dyDescent="0.25">
      <c r="A806" t="str">
        <f t="shared" si="237"/>
        <v>10</v>
      </c>
      <c r="B806" t="str">
        <f>CLEAN("24")</f>
        <v>24</v>
      </c>
      <c r="C806" s="1">
        <v>45621</v>
      </c>
      <c r="D806" t="str">
        <f>CLEAN("6320-05-22")</f>
        <v>6320-05-22</v>
      </c>
      <c r="E806" t="str">
        <f>CLEAN("303  ")</f>
        <v xml:space="preserve">303  </v>
      </c>
      <c r="F806" t="str">
        <f>CLEAN("$0 - $99,999             ")</f>
        <v xml:space="preserve">$0 - $99,999             </v>
      </c>
      <c r="G806" t="str">
        <f>CLEAN("R/E")</f>
        <v>R/E</v>
      </c>
      <c r="H806" t="str">
        <f>CLEAN("NONLET CONSTR/REAL ESTATE")</f>
        <v>NONLET CONSTR/REAL ESTATE</v>
      </c>
      <c r="I806" t="str">
        <f>CLEAN("REAL ESTATE/RESURFACE              ")</f>
        <v xml:space="preserve">REAL ESTATE/RESURFACE              </v>
      </c>
      <c r="J806" t="str">
        <f>CLEAN("STH 073")</f>
        <v>STH 073</v>
      </c>
      <c r="K806" t="str">
        <f>CLEAN("WAUSHARA                      ")</f>
        <v xml:space="preserve">WAUSHARA                      </v>
      </c>
      <c r="L806" t="str">
        <f>CLEAN("PLAINFIELD - WISCONSIN RAPIDS      ")</f>
        <v xml:space="preserve">PLAINFIELD - WISCONSIN RAPIDS      </v>
      </c>
      <c r="M806" t="str">
        <f>CLEAN("4TH COURT TO CTH F                 ")</f>
        <v xml:space="preserve">4TH COURT TO CTH F                 </v>
      </c>
      <c r="N806">
        <v>6.68</v>
      </c>
      <c r="O806" t="str">
        <f t="shared" si="249"/>
        <v xml:space="preserve">          </v>
      </c>
      <c r="P8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7" spans="1:16" x14ac:dyDescent="0.25">
      <c r="A807" t="str">
        <f t="shared" si="237"/>
        <v>10</v>
      </c>
      <c r="B807" t="str">
        <f>CLEAN("24")</f>
        <v>24</v>
      </c>
      <c r="C807" s="1">
        <v>45347</v>
      </c>
      <c r="D807" t="str">
        <f>CLEAN("6360-05-25")</f>
        <v>6360-05-25</v>
      </c>
      <c r="E807" t="str">
        <f>CLEAN("303  ")</f>
        <v xml:space="preserve">303  </v>
      </c>
      <c r="F807" t="str">
        <f>CLEAN("$0 - $99,999             ")</f>
        <v xml:space="preserve">$0 - $99,999             </v>
      </c>
      <c r="G807" t="str">
        <f>CLEAN("R/E")</f>
        <v>R/E</v>
      </c>
      <c r="H807" t="str">
        <f>CLEAN("NONLET CONSTR/REAL ESTATE")</f>
        <v>NONLET CONSTR/REAL ESTATE</v>
      </c>
      <c r="I807" t="str">
        <f>CLEAN("REAL ESTATE/RESURFACE              ")</f>
        <v xml:space="preserve">REAL ESTATE/RESURFACE              </v>
      </c>
      <c r="J807" t="str">
        <f>CLEAN("STH 107")</f>
        <v>STH 107</v>
      </c>
      <c r="K807" t="str">
        <f>CLEAN("MARATHON                      ")</f>
        <v xml:space="preserve">MARATHON                      </v>
      </c>
      <c r="L807" t="str">
        <f>CLEAN("V MARATHON CITY, MAIN STREET       ")</f>
        <v xml:space="preserve">V MARATHON CITY, MAIN STREET       </v>
      </c>
      <c r="M807" t="str">
        <f>CLEAN("CTH B TO NORTH STREET              ")</f>
        <v xml:space="preserve">CTH B TO NORTH STREET              </v>
      </c>
      <c r="N807">
        <v>0.49299999999999999</v>
      </c>
      <c r="O807" t="str">
        <f t="shared" si="249"/>
        <v xml:space="preserve">          </v>
      </c>
      <c r="P8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8" spans="1:16" x14ac:dyDescent="0.25">
      <c r="A808" t="str">
        <f t="shared" si="237"/>
        <v>10</v>
      </c>
      <c r="B808" t="str">
        <f>CLEAN("24")</f>
        <v>24</v>
      </c>
      <c r="C808" s="1">
        <v>45316</v>
      </c>
      <c r="D808" t="str">
        <f>CLEAN("6370-00-23")</f>
        <v>6370-00-23</v>
      </c>
      <c r="E808" t="str">
        <f>CLEAN("303  ")</f>
        <v xml:space="preserve">303  </v>
      </c>
      <c r="F808" t="str">
        <f>CLEAN("$0 - $99,999             ")</f>
        <v xml:space="preserve">$0 - $99,999             </v>
      </c>
      <c r="G808" t="str">
        <f>CLEAN("R/E")</f>
        <v>R/E</v>
      </c>
      <c r="H808" t="str">
        <f>CLEAN("NONLET CONSTR/REAL ESTATE")</f>
        <v>NONLET CONSTR/REAL ESTATE</v>
      </c>
      <c r="I808" t="str">
        <f>CLEAN("REAL ESTATE/MILL AND OVERLAY       ")</f>
        <v xml:space="preserve">REAL ESTATE/MILL AND OVERLAY       </v>
      </c>
      <c r="J808" t="str">
        <f>CLEAN("STH 153")</f>
        <v>STH 153</v>
      </c>
      <c r="K808" t="str">
        <f>CLEAN("MARATHON                      ")</f>
        <v xml:space="preserve">MARATHON                      </v>
      </c>
      <c r="L808" t="str">
        <f>CLEAN("STRATFORD - MOSINEE                ")</f>
        <v xml:space="preserve">STRATFORD - MOSINEE                </v>
      </c>
      <c r="M808" t="str">
        <f>CLEAN("STAINLESS AVENUE TO STH 107        ")</f>
        <v xml:space="preserve">STAINLESS AVENUE TO STH 107        </v>
      </c>
      <c r="N808">
        <v>11.87</v>
      </c>
      <c r="O808" t="str">
        <f t="shared" si="249"/>
        <v xml:space="preserve">          </v>
      </c>
      <c r="P8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9" spans="1:16" x14ac:dyDescent="0.25">
      <c r="A809" t="str">
        <f t="shared" si="237"/>
        <v>10</v>
      </c>
      <c r="B809" t="str">
        <f>CLEAN("24")</f>
        <v>24</v>
      </c>
      <c r="C809" s="1">
        <v>45272</v>
      </c>
      <c r="D809" t="str">
        <f>CLEAN("6420-00-72")</f>
        <v>6420-00-72</v>
      </c>
      <c r="E809" t="str">
        <f>CLEAN("303  ")</f>
        <v xml:space="preserve">303  </v>
      </c>
      <c r="F809" t="str">
        <f>CLEAN("$4,000,000 - $4,999,999  ")</f>
        <v xml:space="preserve">$4,000,000 - $4,999,999  </v>
      </c>
      <c r="G809" t="str">
        <f>CLEAN("LET")</f>
        <v>LET</v>
      </c>
      <c r="H809" t="str">
        <f>CLEAN("LET CONSTRUCTION         ")</f>
        <v xml:space="preserve">LET CONSTRUCTION         </v>
      </c>
      <c r="I809" t="str">
        <f>CLEAN("CONSTR/RESURF                      ")</f>
        <v xml:space="preserve">CONSTR/RESURF                      </v>
      </c>
      <c r="J809" t="str">
        <f>CLEAN("STH 049")</f>
        <v>STH 049</v>
      </c>
      <c r="K809" t="str">
        <f>CLEAN("WAUPACA                       ")</f>
        <v xml:space="preserve">WAUPACA                       </v>
      </c>
      <c r="L809" t="str">
        <f>CLEAN("WAUPACA - NORTHLAND                ")</f>
        <v xml:space="preserve">WAUPACA - NORTHLAND                </v>
      </c>
      <c r="M809" t="str">
        <f>CLEAN("NORTH STREET TO DEPOT STREET       ")</f>
        <v xml:space="preserve">NORTH STREET TO DEPOT STREET       </v>
      </c>
      <c r="N809">
        <v>7.8049999999999997</v>
      </c>
      <c r="O809" t="str">
        <f t="shared" si="249"/>
        <v xml:space="preserve">          </v>
      </c>
      <c r="P80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0" spans="1:16" x14ac:dyDescent="0.25">
      <c r="A810" t="str">
        <f t="shared" si="237"/>
        <v>10</v>
      </c>
      <c r="B810" t="str">
        <f>CLEAN("23")</f>
        <v>23</v>
      </c>
      <c r="C810" s="1">
        <v>45407</v>
      </c>
      <c r="D810" t="str">
        <f>CLEAN("6498-08-70")</f>
        <v>6498-08-70</v>
      </c>
      <c r="E810" t="str">
        <f>CLEAN("206  ")</f>
        <v xml:space="preserve">206  </v>
      </c>
      <c r="F810" t="str">
        <f>CLEAN("$250,000 - $499,999      ")</f>
        <v xml:space="preserve">$250,000 - $499,999      </v>
      </c>
      <c r="G810" t="str">
        <f>CLEAN("MIS")</f>
        <v>MIS</v>
      </c>
      <c r="H810" t="str">
        <f>CLEAN("NONLET CONSTR/REAL ESTATE")</f>
        <v>NONLET CONSTR/REAL ESTATE</v>
      </c>
      <c r="I810" t="str">
        <f>CLEAN("CONST/CRP/MISC                     ")</f>
        <v xml:space="preserve">CONST/CRP/MISC                     </v>
      </c>
      <c r="J810" t="str">
        <f>CLEAN("LOC STR")</f>
        <v>LOC STR</v>
      </c>
      <c r="K810" t="str">
        <f>CLEAN("OUTAGAMIE                     ")</f>
        <v xml:space="preserve">OUTAGAMIE                     </v>
      </c>
      <c r="L810" t="str">
        <f>CLEAN("C KAUKAUNA - STREET LIGHTING       ")</f>
        <v xml:space="preserve">C KAUKAUNA - STREET LIGHTING       </v>
      </c>
      <c r="M810" t="str">
        <f>CLEAN("C KAUKAUNA VARIOUS STREET LOCATIONS")</f>
        <v>C KAUKAUNA VARIOUS STREET LOCATIONS</v>
      </c>
      <c r="N810">
        <v>5.0999999999999997E-2</v>
      </c>
      <c r="O810" t="str">
        <f t="shared" si="249"/>
        <v xml:space="preserve">          </v>
      </c>
      <c r="P810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811" spans="1:16" x14ac:dyDescent="0.25">
      <c r="A811" t="str">
        <f t="shared" si="237"/>
        <v>10</v>
      </c>
      <c r="B811" t="str">
        <f>CLEAN("23")</f>
        <v>23</v>
      </c>
      <c r="C811" s="1">
        <v>45608</v>
      </c>
      <c r="D811" t="str">
        <f>CLEAN("6513-03-71")</f>
        <v>6513-03-71</v>
      </c>
      <c r="E811" t="str">
        <f>CLEAN("206  ")</f>
        <v xml:space="preserve">206  </v>
      </c>
      <c r="F811" t="str">
        <f>CLEAN("$1,000,000 - $1,999,999  ")</f>
        <v xml:space="preserve">$1,000,000 - $1,999,999  </v>
      </c>
      <c r="G811" t="str">
        <f>CLEAN("LET")</f>
        <v>LET</v>
      </c>
      <c r="H811" t="str">
        <f>CLEAN("LET CONSTRUCTION         ")</f>
        <v xml:space="preserve">LET CONSTRUCTION         </v>
      </c>
      <c r="I811" t="str">
        <f>CLEAN("CONSTR/RSRF25                      ")</f>
        <v xml:space="preserve">CONSTR/RSRF25                      </v>
      </c>
      <c r="J811" t="str">
        <f>CLEAN("LOC STR")</f>
        <v>LOC STR</v>
      </c>
      <c r="K811" t="str">
        <f>CLEAN("OUTAGAMIE                     ")</f>
        <v xml:space="preserve">OUTAGAMIE                     </v>
      </c>
      <c r="L811" t="str">
        <f>CLEAN("C NEW LONDON, HOUSE RD             ")</f>
        <v xml:space="preserve">C NEW LONDON, HOUSE RD             </v>
      </c>
      <c r="M811" t="str">
        <f>CLEAN("CTH S - STH 54                     ")</f>
        <v xml:space="preserve">CTH S - STH 54                     </v>
      </c>
      <c r="N811">
        <v>1.4</v>
      </c>
      <c r="O811" t="str">
        <f t="shared" si="249"/>
        <v xml:space="preserve">          </v>
      </c>
      <c r="P811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812" spans="1:16" x14ac:dyDescent="0.25">
      <c r="A812" t="str">
        <f t="shared" si="237"/>
        <v>10</v>
      </c>
      <c r="B812" t="str">
        <f>CLEAN("23")</f>
        <v>23</v>
      </c>
      <c r="C812" s="1">
        <v>45407</v>
      </c>
      <c r="D812" t="str">
        <f>CLEAN("6517-16-40")</f>
        <v>6517-16-40</v>
      </c>
      <c r="E812" t="str">
        <f>CLEAN("303  ")</f>
        <v xml:space="preserve">303  </v>
      </c>
      <c r="F812" t="str">
        <f>CLEAN("$0 - $99,999             ")</f>
        <v xml:space="preserve">$0 - $99,999             </v>
      </c>
      <c r="G812" t="str">
        <f>CLEAN("UTL")</f>
        <v>UTL</v>
      </c>
      <c r="H812" t="str">
        <f>CLEAN("NONLET CONSTR/REAL ESTATE")</f>
        <v>NONLET CONSTR/REAL ESTATE</v>
      </c>
      <c r="I812" t="str">
        <f>CLEAN("UTL RELOCATION                     ")</f>
        <v xml:space="preserve">UTL RELOCATION                     </v>
      </c>
      <c r="J812" t="str">
        <f>CLEAN("STH 076")</f>
        <v>STH 076</v>
      </c>
      <c r="K812" t="str">
        <f>CLEAN("OUTAGAMIE                     ")</f>
        <v xml:space="preserve">OUTAGAMIE                     </v>
      </c>
      <c r="L812" t="str">
        <f>CLEAN("STH 15 - CTH JJ                    ")</f>
        <v xml:space="preserve">STH 15 - CTH JJ                    </v>
      </c>
      <c r="M812" t="str">
        <f>CLEAN("EVERGLADE ROAD - CTH JJ            ")</f>
        <v xml:space="preserve">EVERGLADE ROAD - CTH JJ            </v>
      </c>
      <c r="N812">
        <v>1.41</v>
      </c>
      <c r="O812" t="str">
        <f t="shared" si="249"/>
        <v xml:space="preserve">          </v>
      </c>
      <c r="P8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3" spans="1:16" x14ac:dyDescent="0.25">
      <c r="A813" t="str">
        <f t="shared" si="237"/>
        <v>10</v>
      </c>
      <c r="B813" t="str">
        <f>CLEAN("24")</f>
        <v>24</v>
      </c>
      <c r="C813" s="1">
        <v>45347</v>
      </c>
      <c r="D813" t="str">
        <f>CLEAN("6530-01-20")</f>
        <v>6530-01-20</v>
      </c>
      <c r="E813" t="str">
        <f>CLEAN("303  ")</f>
        <v xml:space="preserve">303  </v>
      </c>
      <c r="F813" t="str">
        <f>CLEAN("$0 - $99,999             ")</f>
        <v xml:space="preserve">$0 - $99,999             </v>
      </c>
      <c r="G813" t="str">
        <f>CLEAN("R/E")</f>
        <v>R/E</v>
      </c>
      <c r="H813" t="str">
        <f>CLEAN("NONLET CONSTR/REAL ESTATE")</f>
        <v>NONLET CONSTR/REAL ESTATE</v>
      </c>
      <c r="I813" t="str">
        <f>CLEAN("REAL ESTATE/RESURFACE              ")</f>
        <v xml:space="preserve">REAL ESTATE/RESURFACE              </v>
      </c>
      <c r="J813" t="str">
        <f>CLEAN("STH 073")</f>
        <v>STH 073</v>
      </c>
      <c r="K813" t="str">
        <f>CLEAN("WAUSHARA                      ")</f>
        <v xml:space="preserve">WAUSHARA                      </v>
      </c>
      <c r="L813" t="str">
        <f>CLEAN("PRINCETON - PLAINFIELD             ")</f>
        <v xml:space="preserve">PRINCETON - PLAINFIELD             </v>
      </c>
      <c r="M813" t="str">
        <f>CLEAN("WHITE RIVER BRIDGE TO STH 21       ")</f>
        <v xml:space="preserve">WHITE RIVER BRIDGE TO STH 21       </v>
      </c>
      <c r="N813">
        <v>7.12</v>
      </c>
      <c r="O813" t="str">
        <f t="shared" si="249"/>
        <v xml:space="preserve">          </v>
      </c>
      <c r="P81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4" spans="1:16" x14ac:dyDescent="0.25">
      <c r="A814" t="str">
        <f t="shared" si="237"/>
        <v>10</v>
      </c>
      <c r="B814" t="str">
        <f>CLEAN("24")</f>
        <v>24</v>
      </c>
      <c r="C814" s="1">
        <v>45608</v>
      </c>
      <c r="D814" t="str">
        <f>CLEAN("6536-03-73")</f>
        <v>6536-03-73</v>
      </c>
      <c r="E814" t="str">
        <f>CLEAN("206  ")</f>
        <v xml:space="preserve">206  </v>
      </c>
      <c r="F814" t="str">
        <f>CLEAN("$1,000,000 - $1,999,999  ")</f>
        <v xml:space="preserve">$1,000,000 - $1,999,999  </v>
      </c>
      <c r="G814" t="str">
        <f>CLEAN("LET")</f>
        <v>LET</v>
      </c>
      <c r="H814" t="str">
        <f>CLEAN("LET CONSTRUCTION         ")</f>
        <v xml:space="preserve">LET CONSTRUCTION         </v>
      </c>
      <c r="I814" t="str">
        <f>CLEAN("CONST/RESURFACE                    ")</f>
        <v xml:space="preserve">CONST/RESURFACE                    </v>
      </c>
      <c r="J814" t="str">
        <f>CLEAN("CTH A  ")</f>
        <v xml:space="preserve">CTH A  </v>
      </c>
      <c r="K814" t="str">
        <f>CLEAN("GREEN LAKE                    ")</f>
        <v xml:space="preserve">GREEN LAKE                    </v>
      </c>
      <c r="L814" t="str">
        <f>CLEAN("STH 33 - STH 44                    ")</f>
        <v xml:space="preserve">STH 33 - STH 44                    </v>
      </c>
      <c r="M814" t="str">
        <f>CLEAN("CTH AW TO CTH I                    ")</f>
        <v xml:space="preserve">CTH AW TO CTH I                    </v>
      </c>
      <c r="N814">
        <v>4.04</v>
      </c>
      <c r="O814" t="str">
        <f t="shared" si="249"/>
        <v xml:space="preserve">          </v>
      </c>
      <c r="P81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15" spans="1:16" x14ac:dyDescent="0.25">
      <c r="A815" t="str">
        <f t="shared" si="237"/>
        <v>10</v>
      </c>
      <c r="B815" t="str">
        <f t="shared" ref="B815:B821" si="250">CLEAN("23")</f>
        <v>23</v>
      </c>
      <c r="C815" s="1">
        <v>45316</v>
      </c>
      <c r="D815" t="str">
        <f>CLEAN("6540-08-50")</f>
        <v>6540-08-50</v>
      </c>
      <c r="E815" t="str">
        <f t="shared" ref="E815:E824" si="251">CLEAN("303  ")</f>
        <v xml:space="preserve">303  </v>
      </c>
      <c r="F815" t="str">
        <f>CLEAN("$100,000-$249,999        ")</f>
        <v xml:space="preserve">$100,000-$249,999        </v>
      </c>
      <c r="G815" t="str">
        <f>CLEAN("R/R")</f>
        <v>R/R</v>
      </c>
      <c r="H815" t="str">
        <f>CLEAN("NONLET CONSTR/REAL ESTATE")</f>
        <v>NONLET CONSTR/REAL ESTATE</v>
      </c>
      <c r="I815" t="str">
        <f>CLEAN("RR CROSSING XING SURFACE           ")</f>
        <v xml:space="preserve">RR CROSSING XING SURFACE           </v>
      </c>
      <c r="J815" t="str">
        <f t="shared" ref="J815:J821" si="252">CLEAN("STH 091")</f>
        <v>STH 091</v>
      </c>
      <c r="K815" t="str">
        <f t="shared" ref="K815:K821" si="253">CLEAN("WINNEBAGO                     ")</f>
        <v xml:space="preserve">WINNEBAGO                     </v>
      </c>
      <c r="L815" t="str">
        <f>CLEAN("STH 91 &amp; CLAIRVILLE RD XING SURFACE")</f>
        <v>STH 91 &amp; CLAIRVILLE RD XING SURFACE</v>
      </c>
      <c r="M815" t="str">
        <f>CLEAN("WSOR RR 387462L                    ")</f>
        <v xml:space="preserve">WSOR RR 387462L                    </v>
      </c>
      <c r="N815">
        <v>3.9E-2</v>
      </c>
      <c r="O815" t="str">
        <f t="shared" si="249"/>
        <v xml:space="preserve">          </v>
      </c>
      <c r="P8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6" spans="1:16" x14ac:dyDescent="0.25">
      <c r="A816" t="str">
        <f t="shared" si="237"/>
        <v>10</v>
      </c>
      <c r="B816" t="str">
        <f t="shared" si="250"/>
        <v>23</v>
      </c>
      <c r="C816" s="1">
        <v>45426</v>
      </c>
      <c r="D816" t="str">
        <f>CLEAN("6540-08-72")</f>
        <v>6540-08-72</v>
      </c>
      <c r="E816" t="str">
        <f t="shared" si="251"/>
        <v xml:space="preserve">303  </v>
      </c>
      <c r="F816" t="str">
        <f>CLEAN("$100,000-$249,999        ")</f>
        <v xml:space="preserve">$100,000-$249,999        </v>
      </c>
      <c r="G816" t="str">
        <f t="shared" ref="G816:G821" si="254">CLEAN("LET")</f>
        <v>LET</v>
      </c>
      <c r="H816" t="str">
        <f t="shared" ref="H816:H821" si="255">CLEAN("LET CONSTRUCTION         ")</f>
        <v xml:space="preserve">LET CONSTRUCTION         </v>
      </c>
      <c r="I816" t="str">
        <f>CLEAN("CONST OPS/RESURF MILL/OVERLAY      ")</f>
        <v xml:space="preserve">CONST OPS/RESURF MILL/OVERLAY      </v>
      </c>
      <c r="J816" t="str">
        <f t="shared" si="252"/>
        <v>STH 091</v>
      </c>
      <c r="K816" t="str">
        <f t="shared" si="253"/>
        <v xml:space="preserve">WINNEBAGO                     </v>
      </c>
      <c r="L816" t="str">
        <f t="shared" ref="L816:L821" si="256">CLEAN("BERLIN - OSHKOSH                   ")</f>
        <v xml:space="preserve">BERLIN - OSHKOSH                   </v>
      </c>
      <c r="M816" t="str">
        <f>CLEAN("STH 91 &amp; CLAIRVILLE RD RR387462L   ")</f>
        <v xml:space="preserve">STH 91 &amp; CLAIRVILLE RD RR387462L   </v>
      </c>
      <c r="N816">
        <v>0.19400000000000001</v>
      </c>
      <c r="O816" t="str">
        <f>CLEAN("6540-10-71")</f>
        <v>6540-10-71</v>
      </c>
      <c r="P8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7" spans="1:16" x14ac:dyDescent="0.25">
      <c r="A817" t="str">
        <f t="shared" si="237"/>
        <v>10</v>
      </c>
      <c r="B817" t="str">
        <f t="shared" si="250"/>
        <v>23</v>
      </c>
      <c r="C817" s="1">
        <v>45426</v>
      </c>
      <c r="D817" t="str">
        <f>CLEAN("6540-08-72")</f>
        <v>6540-08-72</v>
      </c>
      <c r="E817" t="str">
        <f t="shared" si="251"/>
        <v xml:space="preserve">303  </v>
      </c>
      <c r="F817" t="str">
        <f>CLEAN("$100,000-$249,999        ")</f>
        <v xml:space="preserve">$100,000-$249,999        </v>
      </c>
      <c r="G817" t="str">
        <f t="shared" si="254"/>
        <v>LET</v>
      </c>
      <c r="H817" t="str">
        <f t="shared" si="255"/>
        <v xml:space="preserve">LET CONSTRUCTION         </v>
      </c>
      <c r="I817" t="str">
        <f>CLEAN("CONST OPS/RESURF MILL/OVERLAY      ")</f>
        <v xml:space="preserve">CONST OPS/RESURF MILL/OVERLAY      </v>
      </c>
      <c r="J817" t="str">
        <f t="shared" si="252"/>
        <v>STH 091</v>
      </c>
      <c r="K817" t="str">
        <f t="shared" si="253"/>
        <v xml:space="preserve">WINNEBAGO                     </v>
      </c>
      <c r="L817" t="str">
        <f t="shared" si="256"/>
        <v xml:space="preserve">BERLIN - OSHKOSH                   </v>
      </c>
      <c r="M817" t="str">
        <f>CLEAN("STH 91 &amp; CLAIRVILLE RD RR387462L   ")</f>
        <v xml:space="preserve">STH 91 &amp; CLAIRVILLE RD RR387462L   </v>
      </c>
      <c r="N817">
        <v>0.19400000000000001</v>
      </c>
      <c r="O817" t="str">
        <f>CLEAN("6540-11-71")</f>
        <v>6540-11-71</v>
      </c>
      <c r="P8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8" spans="1:16" x14ac:dyDescent="0.25">
      <c r="A818" t="str">
        <f t="shared" si="237"/>
        <v>10</v>
      </c>
      <c r="B818" t="str">
        <f t="shared" si="250"/>
        <v>23</v>
      </c>
      <c r="C818" s="1">
        <v>45426</v>
      </c>
      <c r="D818" t="str">
        <f>CLEAN("6540-10-71")</f>
        <v>6540-10-71</v>
      </c>
      <c r="E818" t="str">
        <f t="shared" si="251"/>
        <v xml:space="preserve">303  </v>
      </c>
      <c r="F818" t="str">
        <f>CLEAN("$100,000-$249,999        ")</f>
        <v xml:space="preserve">$100,000-$249,999        </v>
      </c>
      <c r="G818" t="str">
        <f t="shared" si="254"/>
        <v>LET</v>
      </c>
      <c r="H818" t="str">
        <f t="shared" si="255"/>
        <v xml:space="preserve">LET CONSTRUCTION         </v>
      </c>
      <c r="I818" t="str">
        <f>CLEAN("CONST/BRRHB B-70-0039              ")</f>
        <v xml:space="preserve">CONST/BRRHB B-70-0039              </v>
      </c>
      <c r="J818" t="str">
        <f t="shared" si="252"/>
        <v>STH 091</v>
      </c>
      <c r="K818" t="str">
        <f t="shared" si="253"/>
        <v xml:space="preserve">WINNEBAGO                     </v>
      </c>
      <c r="L818" t="str">
        <f t="shared" si="256"/>
        <v xml:space="preserve">BERLIN - OSHKOSH                   </v>
      </c>
      <c r="M818" t="str">
        <f>CLEAN("WAUKAU CREEK STRUCTURE             ")</f>
        <v xml:space="preserve">WAUKAU CREEK STRUCTURE             </v>
      </c>
      <c r="N818">
        <v>0.06</v>
      </c>
      <c r="O818" t="str">
        <f>CLEAN("6540-08-72")</f>
        <v>6540-08-72</v>
      </c>
      <c r="P81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19" spans="1:16" x14ac:dyDescent="0.25">
      <c r="A819" t="str">
        <f t="shared" si="237"/>
        <v>10</v>
      </c>
      <c r="B819" t="str">
        <f t="shared" si="250"/>
        <v>23</v>
      </c>
      <c r="C819" s="1">
        <v>45426</v>
      </c>
      <c r="D819" t="str">
        <f>CLEAN("6540-10-71")</f>
        <v>6540-10-71</v>
      </c>
      <c r="E819" t="str">
        <f t="shared" si="251"/>
        <v xml:space="preserve">303  </v>
      </c>
      <c r="F819" t="str">
        <f>CLEAN("$100,000-$249,999        ")</f>
        <v xml:space="preserve">$100,000-$249,999        </v>
      </c>
      <c r="G819" t="str">
        <f t="shared" si="254"/>
        <v>LET</v>
      </c>
      <c r="H819" t="str">
        <f t="shared" si="255"/>
        <v xml:space="preserve">LET CONSTRUCTION         </v>
      </c>
      <c r="I819" t="str">
        <f>CLEAN("CONST/BRRHB B-70-0039              ")</f>
        <v xml:space="preserve">CONST/BRRHB B-70-0039              </v>
      </c>
      <c r="J819" t="str">
        <f t="shared" si="252"/>
        <v>STH 091</v>
      </c>
      <c r="K819" t="str">
        <f t="shared" si="253"/>
        <v xml:space="preserve">WINNEBAGO                     </v>
      </c>
      <c r="L819" t="str">
        <f t="shared" si="256"/>
        <v xml:space="preserve">BERLIN - OSHKOSH                   </v>
      </c>
      <c r="M819" t="str">
        <f>CLEAN("WAUKAU CREEK STRUCTURE             ")</f>
        <v xml:space="preserve">WAUKAU CREEK STRUCTURE             </v>
      </c>
      <c r="N819">
        <v>0.06</v>
      </c>
      <c r="O819" t="str">
        <f>CLEAN("6540-11-71")</f>
        <v>6540-11-71</v>
      </c>
      <c r="P81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20" spans="1:16" x14ac:dyDescent="0.25">
      <c r="A820" t="str">
        <f t="shared" si="237"/>
        <v>10</v>
      </c>
      <c r="B820" t="str">
        <f t="shared" si="250"/>
        <v>23</v>
      </c>
      <c r="C820" s="1">
        <v>45426</v>
      </c>
      <c r="D820" t="str">
        <f>CLEAN("6540-11-71")</f>
        <v>6540-11-71</v>
      </c>
      <c r="E820" t="str">
        <f t="shared" si="251"/>
        <v xml:space="preserve">303  </v>
      </c>
      <c r="F820" t="str">
        <f>CLEAN("$500,000 - $749,999      ")</f>
        <v xml:space="preserve">$500,000 - $749,999      </v>
      </c>
      <c r="G820" t="str">
        <f t="shared" si="254"/>
        <v>LET</v>
      </c>
      <c r="H820" t="str">
        <f t="shared" si="255"/>
        <v xml:space="preserve">LET CONSTRUCTION         </v>
      </c>
      <c r="I820" t="str">
        <f>CLEAN("CONST/BRRPL B-70-0326              ")</f>
        <v xml:space="preserve">CONST/BRRPL B-70-0326              </v>
      </c>
      <c r="J820" t="str">
        <f t="shared" si="252"/>
        <v>STH 091</v>
      </c>
      <c r="K820" t="str">
        <f t="shared" si="253"/>
        <v xml:space="preserve">WINNEBAGO                     </v>
      </c>
      <c r="L820" t="str">
        <f t="shared" si="256"/>
        <v xml:space="preserve">BERLIN - OSHKOSH                   </v>
      </c>
      <c r="M820" t="str">
        <f>CLEAN("JAMES ROAD - CLAIRVILLE ROAD       ")</f>
        <v xml:space="preserve">JAMES ROAD - CLAIRVILLE ROAD       </v>
      </c>
      <c r="N820">
        <v>3.1E-2</v>
      </c>
      <c r="O820" t="str">
        <f>CLEAN("6540-08-72")</f>
        <v>6540-08-72</v>
      </c>
      <c r="P82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21" spans="1:16" x14ac:dyDescent="0.25">
      <c r="A821" t="str">
        <f t="shared" si="237"/>
        <v>10</v>
      </c>
      <c r="B821" t="str">
        <f t="shared" si="250"/>
        <v>23</v>
      </c>
      <c r="C821" s="1">
        <v>45426</v>
      </c>
      <c r="D821" t="str">
        <f>CLEAN("6540-11-71")</f>
        <v>6540-11-71</v>
      </c>
      <c r="E821" t="str">
        <f t="shared" si="251"/>
        <v xml:space="preserve">303  </v>
      </c>
      <c r="F821" t="str">
        <f>CLEAN("$500,000 - $749,999      ")</f>
        <v xml:space="preserve">$500,000 - $749,999      </v>
      </c>
      <c r="G821" t="str">
        <f t="shared" si="254"/>
        <v>LET</v>
      </c>
      <c r="H821" t="str">
        <f t="shared" si="255"/>
        <v xml:space="preserve">LET CONSTRUCTION         </v>
      </c>
      <c r="I821" t="str">
        <f>CLEAN("CONST/BRRPL B-70-0326              ")</f>
        <v xml:space="preserve">CONST/BRRPL B-70-0326              </v>
      </c>
      <c r="J821" t="str">
        <f t="shared" si="252"/>
        <v>STH 091</v>
      </c>
      <c r="K821" t="str">
        <f t="shared" si="253"/>
        <v xml:space="preserve">WINNEBAGO                     </v>
      </c>
      <c r="L821" t="str">
        <f t="shared" si="256"/>
        <v xml:space="preserve">BERLIN - OSHKOSH                   </v>
      </c>
      <c r="M821" t="str">
        <f>CLEAN("JAMES ROAD - CLAIRVILLE ROAD       ")</f>
        <v xml:space="preserve">JAMES ROAD - CLAIRVILLE ROAD       </v>
      </c>
      <c r="N821">
        <v>3.1E-2</v>
      </c>
      <c r="O821" t="str">
        <f>CLEAN("6540-10-71")</f>
        <v>6540-10-71</v>
      </c>
      <c r="P82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22" spans="1:16" x14ac:dyDescent="0.25">
      <c r="A822" t="str">
        <f t="shared" si="237"/>
        <v>10</v>
      </c>
      <c r="B822" t="str">
        <f t="shared" ref="B822:B833" si="257">CLEAN("24")</f>
        <v>24</v>
      </c>
      <c r="C822" s="1">
        <v>45316</v>
      </c>
      <c r="D822" t="str">
        <f>CLEAN("6580-13-21")</f>
        <v>6580-13-21</v>
      </c>
      <c r="E822" t="str">
        <f t="shared" si="251"/>
        <v xml:space="preserve">303  </v>
      </c>
      <c r="F822" t="str">
        <f>CLEAN("$0 - $99,999             ")</f>
        <v xml:space="preserve">$0 - $99,999             </v>
      </c>
      <c r="G822" t="str">
        <f>CLEAN("R/E")</f>
        <v>R/E</v>
      </c>
      <c r="H822" t="str">
        <f>CLEAN("NONLET CONSTR/REAL ESTATE")</f>
        <v>NONLET CONSTR/REAL ESTATE</v>
      </c>
      <c r="I822" t="str">
        <f>CLEAN("REAL ESTATE/RESURFACE              ")</f>
        <v xml:space="preserve">REAL ESTATE/RESURFACE              </v>
      </c>
      <c r="J822" t="str">
        <f>CLEAN("STH 156")</f>
        <v>STH 156</v>
      </c>
      <c r="K822" t="str">
        <f>CLEAN("SHAWANO                       ")</f>
        <v xml:space="preserve">SHAWANO                       </v>
      </c>
      <c r="L822" t="str">
        <f>CLEAN("CLINTONVILLE - HOWARD              ")</f>
        <v xml:space="preserve">CLINTONVILLE - HOWARD              </v>
      </c>
      <c r="M822" t="str">
        <f>CLEAN("STH 47 TO STH 55                   ")</f>
        <v xml:space="preserve">STH 47 TO STH 55                   </v>
      </c>
      <c r="N822">
        <v>5.99</v>
      </c>
      <c r="O822" t="str">
        <f>CLEAN("          ")</f>
        <v xml:space="preserve">          </v>
      </c>
      <c r="P8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23" spans="1:16" x14ac:dyDescent="0.25">
      <c r="A823" t="str">
        <f t="shared" si="237"/>
        <v>10</v>
      </c>
      <c r="B823" t="str">
        <f t="shared" si="257"/>
        <v>24</v>
      </c>
      <c r="C823" s="1">
        <v>45651</v>
      </c>
      <c r="D823" t="str">
        <f>CLEAN("6590-01-26")</f>
        <v>6590-01-26</v>
      </c>
      <c r="E823" t="str">
        <f t="shared" si="251"/>
        <v xml:space="preserve">303  </v>
      </c>
      <c r="F823" t="str">
        <f>CLEAN("$0 - $99,999             ")</f>
        <v xml:space="preserve">$0 - $99,999             </v>
      </c>
      <c r="G823" t="str">
        <f>CLEAN("R/E")</f>
        <v>R/E</v>
      </c>
      <c r="H823" t="str">
        <f>CLEAN("NONLET CONSTR/REAL ESTATE")</f>
        <v>NONLET CONSTR/REAL ESTATE</v>
      </c>
      <c r="I823" t="str">
        <f>CLEAN("REAL ESTATE/RESURFACE              ")</f>
        <v xml:space="preserve">REAL ESTATE/RESURFACE              </v>
      </c>
      <c r="J823" t="str">
        <f>CLEAN("STH 022")</f>
        <v>STH 022</v>
      </c>
      <c r="K823" t="str">
        <f>CLEAN("WAUPACA                       ")</f>
        <v xml:space="preserve">WAUPACA                       </v>
      </c>
      <c r="L823" t="str">
        <f>CLEAN("C MANAWA, BRIDGE STREET            ")</f>
        <v xml:space="preserve">C MANAWA, BRIDGE STREET            </v>
      </c>
      <c r="M823" t="str">
        <f>CLEAN("CTH B (SOUTH) TO CTH N (NORTH)     ")</f>
        <v xml:space="preserve">CTH B (SOUTH) TO CTH N (NORTH)     </v>
      </c>
      <c r="N823">
        <v>1.91</v>
      </c>
      <c r="O823" t="str">
        <f>CLEAN("          ")</f>
        <v xml:space="preserve">          </v>
      </c>
      <c r="P8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24" spans="1:16" x14ac:dyDescent="0.25">
      <c r="A824" t="str">
        <f t="shared" ref="A824:A887" si="258">CLEAN("10")</f>
        <v>10</v>
      </c>
      <c r="B824" t="str">
        <f t="shared" si="257"/>
        <v>24</v>
      </c>
      <c r="C824" s="1">
        <v>45426</v>
      </c>
      <c r="D824" t="str">
        <f>CLEAN("6610-00-66")</f>
        <v>6610-00-66</v>
      </c>
      <c r="E824" t="str">
        <f t="shared" si="251"/>
        <v xml:space="preserve">303  </v>
      </c>
      <c r="F824" t="str">
        <f>CLEAN("$100,000-$249,999        ")</f>
        <v xml:space="preserve">$100,000-$249,999        </v>
      </c>
      <c r="G824" t="str">
        <f>CLEAN("LET")</f>
        <v>LET</v>
      </c>
      <c r="H824" t="str">
        <f>CLEAN("LET CONSTRUCTION         ")</f>
        <v xml:space="preserve">LET CONSTRUCTION         </v>
      </c>
      <c r="I824" t="str">
        <f>CLEAN("CONST/BRIDGE PREVENTIVE            ")</f>
        <v xml:space="preserve">CONST/BRIDGE PREVENTIVE            </v>
      </c>
      <c r="J824" t="str">
        <f>CLEAN("STH 034")</f>
        <v>STH 034</v>
      </c>
      <c r="K824" t="str">
        <f>CLEAN("PORTAGE                       ")</f>
        <v xml:space="preserve">PORTAGE                       </v>
      </c>
      <c r="L824" t="str">
        <f>CLEAN("RUDOLPH - KNOWLTON                 ")</f>
        <v xml:space="preserve">RUDOLPH - KNOWLTON                 </v>
      </c>
      <c r="M824" t="str">
        <f>CLEAN("LITTLE EAU PLEINE RIVER B-49-0092  ")</f>
        <v xml:space="preserve">LITTLE EAU PLEINE RIVER B-49-0092  </v>
      </c>
      <c r="N824">
        <v>0</v>
      </c>
      <c r="O824" t="str">
        <f>CLEAN("1166-00-66")</f>
        <v>1166-00-66</v>
      </c>
      <c r="P82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25" spans="1:16" x14ac:dyDescent="0.25">
      <c r="A825" t="str">
        <f t="shared" si="258"/>
        <v>10</v>
      </c>
      <c r="B825" t="str">
        <f t="shared" si="257"/>
        <v>24</v>
      </c>
      <c r="C825" s="1">
        <v>45285</v>
      </c>
      <c r="D825" t="str">
        <f>CLEAN("6625-00-80")</f>
        <v>6625-00-80</v>
      </c>
      <c r="E825" t="str">
        <f>CLEAN("206  ")</f>
        <v xml:space="preserve">206  </v>
      </c>
      <c r="F825" t="str">
        <f>CLEAN("$0 - $99,999             ")</f>
        <v xml:space="preserve">$0 - $99,999             </v>
      </c>
      <c r="G825" t="str">
        <f>CLEAN("MIS")</f>
        <v>MIS</v>
      </c>
      <c r="H825" t="str">
        <f>CLEAN("NONLET CONSTR/REAL ESTATE")</f>
        <v>NONLET CONSTR/REAL ESTATE</v>
      </c>
      <c r="I825" t="str">
        <f>CLEAN("CONST/CRP/MISC                     ")</f>
        <v xml:space="preserve">CONST/CRP/MISC                     </v>
      </c>
      <c r="J825" t="str">
        <f>CLEAN("LOC STR")</f>
        <v>LOC STR</v>
      </c>
      <c r="K825" t="str">
        <f>CLEAN("GREEN LAKE                    ")</f>
        <v xml:space="preserve">GREEN LAKE                    </v>
      </c>
      <c r="L825" t="str">
        <f>CLEAN("MARQUETTE SOLAR SPEED CONTROL      ")</f>
        <v xml:space="preserve">MARQUETTE SOLAR SPEED CONTROL      </v>
      </c>
      <c r="M825" t="str">
        <f>CLEAN("VILLAGE AREA LIMITS                ")</f>
        <v xml:space="preserve">VILLAGE AREA LIMITS                </v>
      </c>
      <c r="N825">
        <v>0</v>
      </c>
      <c r="O825" t="str">
        <f>CLEAN("          ")</f>
        <v xml:space="preserve">          </v>
      </c>
      <c r="P825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826" spans="1:16" x14ac:dyDescent="0.25">
      <c r="A826" t="str">
        <f t="shared" si="258"/>
        <v>10</v>
      </c>
      <c r="B826" t="str">
        <f t="shared" si="257"/>
        <v>24</v>
      </c>
      <c r="C826" s="1">
        <v>45376</v>
      </c>
      <c r="D826" t="str">
        <f>CLEAN("6630-01-24")</f>
        <v>6630-01-24</v>
      </c>
      <c r="E826" t="str">
        <f>CLEAN("303  ")</f>
        <v xml:space="preserve">303  </v>
      </c>
      <c r="F826" t="str">
        <f>CLEAN("$0 - $99,999             ")</f>
        <v xml:space="preserve">$0 - $99,999             </v>
      </c>
      <c r="G826" t="str">
        <f>CLEAN("R/E")</f>
        <v>R/E</v>
      </c>
      <c r="H826" t="str">
        <f>CLEAN("NONLET CONSTR/REAL ESTATE")</f>
        <v>NONLET CONSTR/REAL ESTATE</v>
      </c>
      <c r="I826" t="str">
        <f>CLEAN("REAL ESTATE/RESURFACE              ")</f>
        <v xml:space="preserve">REAL ESTATE/RESURFACE              </v>
      </c>
      <c r="J826" t="str">
        <f>CLEAN("STH 044")</f>
        <v>STH 044</v>
      </c>
      <c r="K826" t="str">
        <f>CLEAN("GREEN LAKE                    ")</f>
        <v xml:space="preserve">GREEN LAKE                    </v>
      </c>
      <c r="L826" t="str">
        <f>CLEAN("PARDEEVILLE - MANCHESTER           ")</f>
        <v xml:space="preserve">PARDEEVILLE - MANCHESTER           </v>
      </c>
      <c r="M826" t="str">
        <f>CLEAN("VINE STREET TO STH 73              ")</f>
        <v xml:space="preserve">VINE STREET TO STH 73              </v>
      </c>
      <c r="N826">
        <v>4.1859999999999999</v>
      </c>
      <c r="O826" t="str">
        <f>CLEAN("          ")</f>
        <v xml:space="preserve">          </v>
      </c>
      <c r="P82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27" spans="1:16" x14ac:dyDescent="0.25">
      <c r="A827" t="str">
        <f t="shared" si="258"/>
        <v>10</v>
      </c>
      <c r="B827" t="str">
        <f t="shared" si="257"/>
        <v>24</v>
      </c>
      <c r="C827" s="1">
        <v>45426</v>
      </c>
      <c r="D827" t="str">
        <f>CLEAN("6630-01-73")</f>
        <v>6630-01-73</v>
      </c>
      <c r="E827" t="str">
        <f>CLEAN("303  ")</f>
        <v xml:space="preserve">303  </v>
      </c>
      <c r="F827" t="str">
        <f>CLEAN("$250,000 - $499,999      ")</f>
        <v xml:space="preserve">$250,000 - $499,999      </v>
      </c>
      <c r="G827" t="str">
        <f>CLEAN("LET")</f>
        <v>LET</v>
      </c>
      <c r="H827" t="str">
        <f>CLEAN("LET CONSTRUCTION         ")</f>
        <v xml:space="preserve">LET CONSTRUCTION         </v>
      </c>
      <c r="I827" t="str">
        <f>CLEAN("CONST/BRIDGE OVERLAY               ")</f>
        <v xml:space="preserve">CONST/BRIDGE OVERLAY               </v>
      </c>
      <c r="J827" t="str">
        <f>CLEAN("STH 044")</f>
        <v>STH 044</v>
      </c>
      <c r="K827" t="str">
        <f>CLEAN("GREEN LAKE                    ")</f>
        <v xml:space="preserve">GREEN LAKE                    </v>
      </c>
      <c r="L827" t="str">
        <f>CLEAN("PARDEEVILLE - MANCHESTER           ")</f>
        <v xml:space="preserve">PARDEEVILLE - MANCHESTER           </v>
      </c>
      <c r="M827" t="str">
        <f>CLEAN("BRIDGE OVERLAY B-24-0019           ")</f>
        <v xml:space="preserve">BRIDGE OVERLAY B-24-0019           </v>
      </c>
      <c r="N827">
        <v>0</v>
      </c>
      <c r="O827" t="str">
        <f>CLEAN("          ")</f>
        <v xml:space="preserve">          </v>
      </c>
      <c r="P827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28" spans="1:16" x14ac:dyDescent="0.25">
      <c r="A828" t="str">
        <f t="shared" si="258"/>
        <v>10</v>
      </c>
      <c r="B828" t="str">
        <f t="shared" si="257"/>
        <v>24</v>
      </c>
      <c r="C828" s="1">
        <v>45300</v>
      </c>
      <c r="D828" t="str">
        <f>CLEAN("6640-00-70")</f>
        <v>6640-00-70</v>
      </c>
      <c r="E828" t="str">
        <f>CLEAN("303  ")</f>
        <v xml:space="preserve">303  </v>
      </c>
      <c r="F828" t="str">
        <f>CLEAN("$3,000,000 - $3,999,999  ")</f>
        <v xml:space="preserve">$3,000,000 - $3,999,999  </v>
      </c>
      <c r="G828" t="str">
        <f>CLEAN("LET")</f>
        <v>LET</v>
      </c>
      <c r="H828" t="str">
        <f>CLEAN("LET CONSTRUCTION         ")</f>
        <v xml:space="preserve">LET CONSTRUCTION         </v>
      </c>
      <c r="I828" t="str">
        <f>CLEAN("CONST/RESURFACE                    ")</f>
        <v xml:space="preserve">CONST/RESURFACE                    </v>
      </c>
      <c r="J828" t="str">
        <f>CLEAN("STH 073")</f>
        <v>STH 073</v>
      </c>
      <c r="K828" t="str">
        <f>CLEAN("GREEN LAKE                    ")</f>
        <v xml:space="preserve">GREEN LAKE                    </v>
      </c>
      <c r="L828" t="str">
        <f>CLEAN("COLUMBUS - PRINCETON               ")</f>
        <v xml:space="preserve">COLUMBUS - PRINCETON               </v>
      </c>
      <c r="M828" t="str">
        <f>CLEAN("N JCT STH 44 TO S JCT STH 23       ")</f>
        <v xml:space="preserve">N JCT STH 44 TO S JCT STH 23       </v>
      </c>
      <c r="N828">
        <v>9.92</v>
      </c>
      <c r="O828" t="str">
        <f>CLEAN("1430-08-81")</f>
        <v>1430-08-81</v>
      </c>
      <c r="P82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29" spans="1:16" x14ac:dyDescent="0.25">
      <c r="A829" t="str">
        <f t="shared" si="258"/>
        <v>10</v>
      </c>
      <c r="B829" t="str">
        <f t="shared" si="257"/>
        <v>24</v>
      </c>
      <c r="C829" s="1">
        <v>45437</v>
      </c>
      <c r="D829" t="str">
        <f>CLEAN("6663-00-73")</f>
        <v>6663-00-73</v>
      </c>
      <c r="E829" t="str">
        <f>CLEAN("290  ")</f>
        <v xml:space="preserve">290  </v>
      </c>
      <c r="F829" t="str">
        <f>CLEAN("$500,000 - $749,999      ")</f>
        <v xml:space="preserve">$500,000 - $749,999      </v>
      </c>
      <c r="G829" t="str">
        <f>CLEAN("LLC")</f>
        <v>LLC</v>
      </c>
      <c r="H829" t="str">
        <f>CLEAN("NONLET CONSTR/REAL ESTATE")</f>
        <v>NONLET CONSTR/REAL ESTATE</v>
      </c>
      <c r="I829" t="str">
        <f>CLEAN("CONST/TAP/MISC                     ")</f>
        <v xml:space="preserve">CONST/TAP/MISC                     </v>
      </c>
      <c r="J829" t="str">
        <f>CLEAN("LOC STR")</f>
        <v>LOC STR</v>
      </c>
      <c r="K829" t="str">
        <f>CLEAN("MARATHON                      ")</f>
        <v xml:space="preserve">MARATHON                      </v>
      </c>
      <c r="L829" t="str">
        <f>CLEAN("V MARATHON CITY, 4TH STREET TRAIL  ")</f>
        <v xml:space="preserve">V MARATHON CITY, 4TH STREET TRAIL  </v>
      </c>
      <c r="M829" t="str">
        <f>CLEAN("EAST STREET TO SPRING VALLEY DRIVE ")</f>
        <v xml:space="preserve">EAST STREET TO SPRING VALLEY DRIVE </v>
      </c>
      <c r="N829">
        <v>0.14000000000000001</v>
      </c>
      <c r="O829" t="str">
        <f t="shared" ref="O829:O836" si="259">CLEAN("          ")</f>
        <v xml:space="preserve">          </v>
      </c>
      <c r="P829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830" spans="1:16" x14ac:dyDescent="0.25">
      <c r="A830" t="str">
        <f t="shared" si="258"/>
        <v>10</v>
      </c>
      <c r="B830" t="str">
        <f t="shared" si="257"/>
        <v>24</v>
      </c>
      <c r="C830" s="1">
        <v>45300</v>
      </c>
      <c r="D830" t="str">
        <f>CLEAN("6664-00-70")</f>
        <v>6664-00-70</v>
      </c>
      <c r="E830" t="str">
        <f>CLEAN("205  ")</f>
        <v xml:space="preserve">205  </v>
      </c>
      <c r="F830" t="str">
        <f>CLEAN("$1,000,000 - $1,999,999  ")</f>
        <v xml:space="preserve">$1,000,000 - $1,999,999  </v>
      </c>
      <c r="G830" t="str">
        <f>CLEAN("LET")</f>
        <v>LET</v>
      </c>
      <c r="H830" t="str">
        <f>CLEAN("LET CONSTRUCTION         ")</f>
        <v xml:space="preserve">LET CONSTRUCTION         </v>
      </c>
      <c r="I830" t="str">
        <f>CLEAN("CONST/REPLACEMENT                  ")</f>
        <v xml:space="preserve">CONST/REPLACEMENT                  </v>
      </c>
      <c r="J830" t="str">
        <f>CLEAN("CTH O  ")</f>
        <v xml:space="preserve">CTH O  </v>
      </c>
      <c r="K830" t="str">
        <f>CLEAN("MARATHON                      ")</f>
        <v xml:space="preserve">MARATHON                      </v>
      </c>
      <c r="L830" t="str">
        <f>CLEAN("T BERGEN, CTH O                    ")</f>
        <v xml:space="preserve">T BERGEN, CTH O                    </v>
      </c>
      <c r="M830" t="str">
        <f>CLEAN("LITTLE EAU PLEINE RVR BR B370465   ")</f>
        <v xml:space="preserve">LITTLE EAU PLEINE RVR BR B370465   </v>
      </c>
      <c r="N830">
        <v>0</v>
      </c>
      <c r="O830" t="str">
        <f t="shared" si="259"/>
        <v xml:space="preserve">          </v>
      </c>
      <c r="P83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31" spans="1:16" x14ac:dyDescent="0.25">
      <c r="A831" t="str">
        <f t="shared" si="258"/>
        <v>10</v>
      </c>
      <c r="B831" t="str">
        <f t="shared" si="257"/>
        <v>24</v>
      </c>
      <c r="C831" s="1">
        <v>45272</v>
      </c>
      <c r="D831" t="str">
        <f>CLEAN("6667-00-71")</f>
        <v>6667-00-71</v>
      </c>
      <c r="E831" t="str">
        <f>CLEAN("206  ")</f>
        <v xml:space="preserve">206  </v>
      </c>
      <c r="F831" t="str">
        <f>CLEAN("$1,000,000 - $1,999,999  ")</f>
        <v xml:space="preserve">$1,000,000 - $1,999,999  </v>
      </c>
      <c r="G831" t="str">
        <f>CLEAN("LET")</f>
        <v>LET</v>
      </c>
      <c r="H831" t="str">
        <f>CLEAN("LET CONSTRUCTION         ")</f>
        <v xml:space="preserve">LET CONSTRUCTION         </v>
      </c>
      <c r="I831" t="str">
        <f>CLEAN("CONST/RESURFACE                    ")</f>
        <v xml:space="preserve">CONST/RESURFACE                    </v>
      </c>
      <c r="J831" t="str">
        <f>CLEAN("CTH T  ")</f>
        <v xml:space="preserve">CTH T  </v>
      </c>
      <c r="K831" t="str">
        <f>CLEAN("MARATHON                      ")</f>
        <v xml:space="preserve">MARATHON                      </v>
      </c>
      <c r="L831" t="str">
        <f>CLEAN("HEWITT - STH 97                    ")</f>
        <v xml:space="preserve">HEWITT - STH 97                    </v>
      </c>
      <c r="M831" t="str">
        <f>CLEAN("SOUTH COUNTY LINE TO STH 97        ")</f>
        <v xml:space="preserve">SOUTH COUNTY LINE TO STH 97        </v>
      </c>
      <c r="N831">
        <v>2.5049999999999999</v>
      </c>
      <c r="O831" t="str">
        <f t="shared" si="259"/>
        <v xml:space="preserve">          </v>
      </c>
      <c r="P83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32" spans="1:16" x14ac:dyDescent="0.25">
      <c r="A832" t="str">
        <f t="shared" si="258"/>
        <v>10</v>
      </c>
      <c r="B832" t="str">
        <f t="shared" si="257"/>
        <v>24</v>
      </c>
      <c r="C832" s="1">
        <v>45608</v>
      </c>
      <c r="D832" t="str">
        <f>CLEAN("6673-02-72")</f>
        <v>6673-02-72</v>
      </c>
      <c r="E832" t="str">
        <f>CLEAN("205  ")</f>
        <v xml:space="preserve">205  </v>
      </c>
      <c r="F832" t="str">
        <f>CLEAN("$750,000 - $999,999      ")</f>
        <v xml:space="preserve">$750,000 - $999,999      </v>
      </c>
      <c r="G832" t="str">
        <f>CLEAN("LET")</f>
        <v>LET</v>
      </c>
      <c r="H832" t="str">
        <f>CLEAN("LET CONSTRUCTION         ")</f>
        <v xml:space="preserve">LET CONSTRUCTION         </v>
      </c>
      <c r="I832" t="str">
        <f>CLEAN("CONST/REPLACEMENT                  ")</f>
        <v xml:space="preserve">CONST/REPLACEMENT                  </v>
      </c>
      <c r="J832" t="str">
        <f>CLEAN("LOC STR")</f>
        <v>LOC STR</v>
      </c>
      <c r="K832" t="str">
        <f>CLEAN("MARATHON                      ")</f>
        <v xml:space="preserve">MARATHON                      </v>
      </c>
      <c r="L832" t="str">
        <f>CLEAN("T CASSEL, CHESAK ROAD              ")</f>
        <v xml:space="preserve">T CASSEL, CHESAK ROAD              </v>
      </c>
      <c r="M832" t="str">
        <f>CLEAN("BR SCOTCH CREEK CROSSING P-37-0249 ")</f>
        <v xml:space="preserve">BR SCOTCH CREEK CROSSING P-37-0249 </v>
      </c>
      <c r="N832">
        <v>0</v>
      </c>
      <c r="O832" t="str">
        <f t="shared" si="259"/>
        <v xml:space="preserve">          </v>
      </c>
      <c r="P83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33" spans="1:16" x14ac:dyDescent="0.25">
      <c r="A833" t="str">
        <f t="shared" si="258"/>
        <v>10</v>
      </c>
      <c r="B833" t="str">
        <f t="shared" si="257"/>
        <v>24</v>
      </c>
      <c r="C833" s="1">
        <v>45608</v>
      </c>
      <c r="D833" t="str">
        <f>CLEAN("6685-03-72")</f>
        <v>6685-03-72</v>
      </c>
      <c r="E833" t="str">
        <f>CLEAN("205  ")</f>
        <v xml:space="preserve">205  </v>
      </c>
      <c r="F833" t="str">
        <f>CLEAN("$500,000 - $749,999      ")</f>
        <v xml:space="preserve">$500,000 - $749,999      </v>
      </c>
      <c r="G833" t="str">
        <f>CLEAN("LET")</f>
        <v>LET</v>
      </c>
      <c r="H833" t="str">
        <f>CLEAN("LET CONSTRUCTION         ")</f>
        <v xml:space="preserve">LET CONSTRUCTION         </v>
      </c>
      <c r="I833" t="str">
        <f>CLEAN("CONST/REPLACEMENT                  ")</f>
        <v xml:space="preserve">CONST/REPLACEMENT                  </v>
      </c>
      <c r="J833" t="str">
        <f>CLEAN("LOC STR")</f>
        <v>LOC STR</v>
      </c>
      <c r="K833" t="str">
        <f>CLEAN("MARATHON                      ")</f>
        <v xml:space="preserve">MARATHON                      </v>
      </c>
      <c r="L833" t="str">
        <f>CLEAN("T SPENCER, PLEASANT ROAD           ")</f>
        <v xml:space="preserve">T SPENCER, PLEASANT ROAD           </v>
      </c>
      <c r="M833" t="str">
        <f>CLEAN("E BR YELLOW RIVER BRIDGE B-37-0477 ")</f>
        <v xml:space="preserve">E BR YELLOW RIVER BRIDGE B-37-0477 </v>
      </c>
      <c r="N833">
        <v>0</v>
      </c>
      <c r="O833" t="str">
        <f t="shared" si="259"/>
        <v xml:space="preserve">          </v>
      </c>
      <c r="P83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34" spans="1:16" x14ac:dyDescent="0.25">
      <c r="A834" t="str">
        <f t="shared" si="258"/>
        <v>10</v>
      </c>
      <c r="B834" t="str">
        <f>CLEAN("21")</f>
        <v>21</v>
      </c>
      <c r="C834" s="1">
        <v>45498</v>
      </c>
      <c r="D834" t="str">
        <f>CLEAN("6707-01-23")</f>
        <v>6707-01-23</v>
      </c>
      <c r="E834" t="str">
        <f>CLEAN("303  ")</f>
        <v xml:space="preserve">303  </v>
      </c>
      <c r="F834" t="str">
        <f>CLEAN("$0 - $99,999             ")</f>
        <v xml:space="preserve">$0 - $99,999             </v>
      </c>
      <c r="G834" t="str">
        <f>CLEAN("R/E")</f>
        <v>R/E</v>
      </c>
      <c r="H834" t="str">
        <f>CLEAN("NONLET CONSTR/REAL ESTATE")</f>
        <v>NONLET CONSTR/REAL ESTATE</v>
      </c>
      <c r="I834" t="str">
        <f>CLEAN("REAL ESTATE/ RSRF30                ")</f>
        <v xml:space="preserve">REAL ESTATE/ RSRF30                </v>
      </c>
      <c r="J834" t="str">
        <f>CLEAN("STH 146")</f>
        <v>STH 146</v>
      </c>
      <c r="K834" t="str">
        <f>CLEAN("COLUMBIA                      ")</f>
        <v xml:space="preserve">COLUMBIA                      </v>
      </c>
      <c r="L834" t="str">
        <f>CLEAN("FALL RIVER - CAMBRIA               ")</f>
        <v xml:space="preserve">FALL RIVER - CAMBRIA               </v>
      </c>
      <c r="M834" t="str">
        <f>CLEAN("STH 16 TO STH 33                   ")</f>
        <v xml:space="preserve">STH 16 TO STH 33                   </v>
      </c>
      <c r="N834">
        <v>13.25</v>
      </c>
      <c r="O834" t="str">
        <f t="shared" si="259"/>
        <v xml:space="preserve">          </v>
      </c>
      <c r="P83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35" spans="1:16" x14ac:dyDescent="0.25">
      <c r="A835" t="str">
        <f t="shared" si="258"/>
        <v>10</v>
      </c>
      <c r="B835" t="str">
        <f>CLEAN("21")</f>
        <v>21</v>
      </c>
      <c r="C835" s="1">
        <v>45608</v>
      </c>
      <c r="D835" t="str">
        <f>CLEAN("6723-00-73")</f>
        <v>6723-00-73</v>
      </c>
      <c r="E835" t="str">
        <f>CLEAN("205  ")</f>
        <v xml:space="preserve">205  </v>
      </c>
      <c r="F835" t="str">
        <f>CLEAN("$1,000,000 - $1,999,999  ")</f>
        <v xml:space="preserve">$1,000,000 - $1,999,999  </v>
      </c>
      <c r="G835" t="str">
        <f t="shared" ref="G835:G841" si="260">CLEAN("LET")</f>
        <v>LET</v>
      </c>
      <c r="H835" t="str">
        <f t="shared" ref="H835:H841" si="261">CLEAN("LET CONSTRUCTION         ")</f>
        <v xml:space="preserve">LET CONSTRUCTION         </v>
      </c>
      <c r="I835" t="str">
        <f>CLEAN("CONST OPS/BRIDGE REPLACMENT        ")</f>
        <v xml:space="preserve">CONST OPS/BRIDGE REPLACMENT        </v>
      </c>
      <c r="J835" t="str">
        <f>CLEAN("LOC STR")</f>
        <v>LOC STR</v>
      </c>
      <c r="K835" t="str">
        <f>CLEAN("COLUMBIA                      ")</f>
        <v xml:space="preserve">COLUMBIA                      </v>
      </c>
      <c r="L835" t="str">
        <f>CLEAN("TOWN OF RANDOLPH, STERK RD         ")</f>
        <v xml:space="preserve">TOWN OF RANDOLPH, STERK RD         </v>
      </c>
      <c r="M835" t="str">
        <f>CLEAN("UPRR BRIDGE, B-11-0177             ")</f>
        <v xml:space="preserve">UPRR BRIDGE, B-11-0177             </v>
      </c>
      <c r="N835">
        <v>0.104</v>
      </c>
      <c r="O835" t="str">
        <f t="shared" si="259"/>
        <v xml:space="preserve">          </v>
      </c>
      <c r="P83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36" spans="1:16" x14ac:dyDescent="0.25">
      <c r="A836" t="str">
        <f t="shared" si="258"/>
        <v>10</v>
      </c>
      <c r="B836" t="str">
        <f t="shared" ref="B836:B851" si="262">CLEAN("24")</f>
        <v>24</v>
      </c>
      <c r="C836" s="1">
        <v>45608</v>
      </c>
      <c r="D836" t="str">
        <f>CLEAN("6739-00-70")</f>
        <v>6739-00-70</v>
      </c>
      <c r="E836" t="str">
        <f>CLEAN("205  ")</f>
        <v xml:space="preserve">205  </v>
      </c>
      <c r="F836" t="str">
        <f>CLEAN("$500,000 - $749,999      ")</f>
        <v xml:space="preserve">$500,000 - $749,999      </v>
      </c>
      <c r="G836" t="str">
        <f t="shared" si="260"/>
        <v>LET</v>
      </c>
      <c r="H836" t="str">
        <f t="shared" si="261"/>
        <v xml:space="preserve">LET CONSTRUCTION         </v>
      </c>
      <c r="I836" t="str">
        <f>CLEAN("CONST/REPLACEMENT                  ")</f>
        <v xml:space="preserve">CONST/REPLACEMENT                  </v>
      </c>
      <c r="J836" t="str">
        <f>CLEAN("LOC STR")</f>
        <v>LOC STR</v>
      </c>
      <c r="K836" t="str">
        <f>CLEAN("MARQUETTE                     ")</f>
        <v xml:space="preserve">MARQUETTE                     </v>
      </c>
      <c r="L836" t="str">
        <f>CLEAN("T CRYSTAL LAKE, DOVER AVENUE       ")</f>
        <v xml:space="preserve">T CRYSTAL LAKE, DOVER AVENUE       </v>
      </c>
      <c r="M836" t="str">
        <f>CLEAN("MECAN RIVER BRIDGE P-39-0025       ")</f>
        <v xml:space="preserve">MECAN RIVER BRIDGE P-39-0025       </v>
      </c>
      <c r="N836">
        <v>0</v>
      </c>
      <c r="O836" t="str">
        <f t="shared" si="259"/>
        <v xml:space="preserve">          </v>
      </c>
      <c r="P83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37" spans="1:16" x14ac:dyDescent="0.25">
      <c r="A837" t="str">
        <f t="shared" si="258"/>
        <v>10</v>
      </c>
      <c r="B837" t="str">
        <f t="shared" si="262"/>
        <v>24</v>
      </c>
      <c r="C837" s="1">
        <v>45335</v>
      </c>
      <c r="D837" t="str">
        <f>CLEAN("6767-01-71")</f>
        <v>6767-01-71</v>
      </c>
      <c r="E837" t="str">
        <f>CLEAN("206  ")</f>
        <v xml:space="preserve">206  </v>
      </c>
      <c r="F837" t="str">
        <f>CLEAN("$5,000,000 - $5,999,999  ")</f>
        <v xml:space="preserve">$5,000,000 - $5,999,999  </v>
      </c>
      <c r="G837" t="str">
        <f t="shared" si="260"/>
        <v>LET</v>
      </c>
      <c r="H837" t="str">
        <f t="shared" si="261"/>
        <v xml:space="preserve">LET CONSTRUCTION         </v>
      </c>
      <c r="I837" t="str">
        <f>CLEAN("CONST/RECONSTRUCT                  ")</f>
        <v xml:space="preserve">CONST/RECONSTRUCT                  </v>
      </c>
      <c r="J837" t="str">
        <f>CLEAN("CTH B  ")</f>
        <v xml:space="preserve">CTH B  </v>
      </c>
      <c r="K837" t="str">
        <f>CLEAN("PORTAGE                       ")</f>
        <v xml:space="preserve">PORTAGE                       </v>
      </c>
      <c r="L837" t="str">
        <f>CLEAN("V PLOVER, CTH B                    ")</f>
        <v xml:space="preserve">V PLOVER, CTH B                    </v>
      </c>
      <c r="M837" t="str">
        <f>CLEAN("WISCONSIN AVENUE TO HOOVER AVENUE  ")</f>
        <v xml:space="preserve">WISCONSIN AVENUE TO HOOVER AVENUE  </v>
      </c>
      <c r="N837">
        <v>0.68</v>
      </c>
      <c r="O837" t="str">
        <f>CLEAN("6767-02-71")</f>
        <v>6767-02-71</v>
      </c>
      <c r="P837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838" spans="1:16" x14ac:dyDescent="0.25">
      <c r="A838" t="str">
        <f t="shared" si="258"/>
        <v>10</v>
      </c>
      <c r="B838" t="str">
        <f t="shared" si="262"/>
        <v>24</v>
      </c>
      <c r="C838" s="1">
        <v>45335</v>
      </c>
      <c r="D838" t="str">
        <f>CLEAN("6767-02-71")</f>
        <v>6767-02-71</v>
      </c>
      <c r="E838" t="str">
        <f>CLEAN("206  ")</f>
        <v xml:space="preserve">206  </v>
      </c>
      <c r="F838" t="str">
        <f>CLEAN("$2,000,000 - $2,999,999  ")</f>
        <v xml:space="preserve">$2,000,000 - $2,999,999  </v>
      </c>
      <c r="G838" t="str">
        <f t="shared" si="260"/>
        <v>LET</v>
      </c>
      <c r="H838" t="str">
        <f t="shared" si="261"/>
        <v xml:space="preserve">LET CONSTRUCTION         </v>
      </c>
      <c r="I838" t="str">
        <f>CLEAN("CONST/PVRPLA                       ")</f>
        <v xml:space="preserve">CONST/PVRPLA                       </v>
      </c>
      <c r="J838" t="str">
        <f>CLEAN("CTH B  ")</f>
        <v xml:space="preserve">CTH B  </v>
      </c>
      <c r="K838" t="str">
        <f>CLEAN("PORTAGE                       ")</f>
        <v xml:space="preserve">PORTAGE                       </v>
      </c>
      <c r="L838" t="str">
        <f>CLEAN("V PLOVER, CTH B                    ")</f>
        <v xml:space="preserve">V PLOVER, CTH B                    </v>
      </c>
      <c r="M838" t="str">
        <f>CLEAN("HOOVER AVENUE TO IH 39 INTERCHANGE ")</f>
        <v xml:space="preserve">HOOVER AVENUE TO IH 39 INTERCHANGE </v>
      </c>
      <c r="N838">
        <v>0.45</v>
      </c>
      <c r="O838" t="str">
        <f>CLEAN("6767-01-71")</f>
        <v>6767-01-71</v>
      </c>
      <c r="P838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839" spans="1:16" x14ac:dyDescent="0.25">
      <c r="A839" t="str">
        <f t="shared" si="258"/>
        <v>10</v>
      </c>
      <c r="B839" t="str">
        <f t="shared" si="262"/>
        <v>24</v>
      </c>
      <c r="C839" s="1">
        <v>45608</v>
      </c>
      <c r="D839" t="str">
        <f>CLEAN("6834-01-70")</f>
        <v>6834-01-70</v>
      </c>
      <c r="E839" t="str">
        <f>CLEAN("206  ")</f>
        <v xml:space="preserve">206  </v>
      </c>
      <c r="F839" t="str">
        <f>CLEAN("$750,000 - $999,999      ")</f>
        <v xml:space="preserve">$750,000 - $999,999      </v>
      </c>
      <c r="G839" t="str">
        <f t="shared" si="260"/>
        <v>LET</v>
      </c>
      <c r="H839" t="str">
        <f t="shared" si="261"/>
        <v xml:space="preserve">LET CONSTRUCTION         </v>
      </c>
      <c r="I839" t="str">
        <f>CLEAN("CONST/RECONSTRUCT                  ")</f>
        <v xml:space="preserve">CONST/RECONSTRUCT                  </v>
      </c>
      <c r="J839" t="str">
        <f>CLEAN("CTH H  ")</f>
        <v xml:space="preserve">CTH H  </v>
      </c>
      <c r="K839" t="str">
        <f>CLEAN("WAUPACA                       ")</f>
        <v xml:space="preserve">WAUPACA                       </v>
      </c>
      <c r="L839" t="str">
        <f>CLEAN("WINNEBAGO COUNTY LINE - STH 110    ")</f>
        <v xml:space="preserve">WINNEBAGO COUNTY LINE - STH 110    </v>
      </c>
      <c r="M839" t="str">
        <f>CLEAN("CTH AH TO LIND STREET              ")</f>
        <v xml:space="preserve">CTH AH TO LIND STREET              </v>
      </c>
      <c r="N839">
        <v>1.0629999999999999</v>
      </c>
      <c r="O839" t="str">
        <f>CLEAN("          ")</f>
        <v xml:space="preserve">          </v>
      </c>
      <c r="P83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40" spans="1:16" x14ac:dyDescent="0.25">
      <c r="A840" t="str">
        <f t="shared" si="258"/>
        <v>10</v>
      </c>
      <c r="B840" t="str">
        <f t="shared" si="262"/>
        <v>24</v>
      </c>
      <c r="C840" s="1">
        <v>45363</v>
      </c>
      <c r="D840" t="str">
        <f>CLEAN("6871-00-70")</f>
        <v>6871-00-70</v>
      </c>
      <c r="E840" t="str">
        <f>CLEAN("205  ")</f>
        <v xml:space="preserve">205  </v>
      </c>
      <c r="F840" t="str">
        <f>CLEAN("$500,000 - $749,999      ")</f>
        <v xml:space="preserve">$500,000 - $749,999      </v>
      </c>
      <c r="G840" t="str">
        <f t="shared" si="260"/>
        <v>LET</v>
      </c>
      <c r="H840" t="str">
        <f t="shared" si="261"/>
        <v xml:space="preserve">LET CONSTRUCTION         </v>
      </c>
      <c r="I840" t="str">
        <f>CLEAN("CONST/REPLACEMENT                  ")</f>
        <v xml:space="preserve">CONST/REPLACEMENT                  </v>
      </c>
      <c r="J840" t="str">
        <f>CLEAN("LOC STR")</f>
        <v>LOC STR</v>
      </c>
      <c r="K840" t="str">
        <f>CLEAN("WAUSHARA                      ")</f>
        <v xml:space="preserve">WAUSHARA                      </v>
      </c>
      <c r="L840" t="str">
        <f>CLEAN("T SAXEVILLE, 29TH DRIVE            ")</f>
        <v xml:space="preserve">T SAXEVILLE, 29TH DRIVE            </v>
      </c>
      <c r="M840" t="str">
        <f>CLEAN("AUSTIN CREEK BRIDGE B-69-0052      ")</f>
        <v xml:space="preserve">AUSTIN CREEK BRIDGE B-69-0052      </v>
      </c>
      <c r="N840">
        <v>0</v>
      </c>
      <c r="O840" t="str">
        <f>CLEAN("          ")</f>
        <v xml:space="preserve">          </v>
      </c>
      <c r="P84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41" spans="1:16" x14ac:dyDescent="0.25">
      <c r="A841" t="str">
        <f t="shared" si="258"/>
        <v>10</v>
      </c>
      <c r="B841" t="str">
        <f t="shared" si="262"/>
        <v>24</v>
      </c>
      <c r="C841" s="1">
        <v>45636</v>
      </c>
      <c r="D841" t="str">
        <f>CLEAN("6925-01-70")</f>
        <v>6925-01-70</v>
      </c>
      <c r="E841" t="str">
        <f>CLEAN("205  ")</f>
        <v xml:space="preserve">205  </v>
      </c>
      <c r="F841" t="str">
        <f>CLEAN("$250,000 - $499,999      ")</f>
        <v xml:space="preserve">$250,000 - $499,999      </v>
      </c>
      <c r="G841" t="str">
        <f t="shared" si="260"/>
        <v>LET</v>
      </c>
      <c r="H841" t="str">
        <f t="shared" si="261"/>
        <v xml:space="preserve">LET CONSTRUCTION         </v>
      </c>
      <c r="I841" t="str">
        <f>CLEAN("CONST/REPLACEMENT                  ")</f>
        <v xml:space="preserve">CONST/REPLACEMENT                  </v>
      </c>
      <c r="J841" t="str">
        <f>CLEAN("CTH N  ")</f>
        <v xml:space="preserve">CTH N  </v>
      </c>
      <c r="K841" t="str">
        <f t="shared" ref="K841:K851" si="263">CLEAN("WOOD                          ")</f>
        <v xml:space="preserve">WOOD                          </v>
      </c>
      <c r="L841" t="str">
        <f>CLEAN("STH 186 - CTH K                    ")</f>
        <v xml:space="preserve">STH 186 - CTH K                    </v>
      </c>
      <c r="M841" t="str">
        <f>CLEAN("BRANCH HEMLOCK CREEK, B-71-0768    ")</f>
        <v xml:space="preserve">BRANCH HEMLOCK CREEK, B-71-0768    </v>
      </c>
      <c r="N841">
        <v>0</v>
      </c>
      <c r="O841" t="str">
        <f>CLEAN("          ")</f>
        <v xml:space="preserve">          </v>
      </c>
      <c r="P84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42" spans="1:16" x14ac:dyDescent="0.25">
      <c r="A842" t="str">
        <f t="shared" si="258"/>
        <v>10</v>
      </c>
      <c r="B842" t="str">
        <f t="shared" si="262"/>
        <v>24</v>
      </c>
      <c r="C842" s="1">
        <v>45437</v>
      </c>
      <c r="D842" t="str">
        <f>CLEAN("6933-00-57")</f>
        <v>6933-00-57</v>
      </c>
      <c r="E842" t="str">
        <f t="shared" ref="E842:E850" si="264">CLEAN("303  ")</f>
        <v xml:space="preserve">303  </v>
      </c>
      <c r="F842" t="str">
        <f>CLEAN("$100,000-$249,999        ")</f>
        <v xml:space="preserve">$100,000-$249,999        </v>
      </c>
      <c r="G842" t="str">
        <f>CLEAN("R/R")</f>
        <v>R/R</v>
      </c>
      <c r="H842" t="str">
        <f>CLEAN("NONLET CONSTR/REAL ESTATE")</f>
        <v>NONLET CONSTR/REAL ESTATE</v>
      </c>
      <c r="I842" t="str">
        <f>CLEAN("RAIL CROSSING SIGNALS 392695T      ")</f>
        <v xml:space="preserve">RAIL CROSSING SIGNALS 392695T      </v>
      </c>
      <c r="J842" t="str">
        <f>CLEAN("STH 173")</f>
        <v>STH 173</v>
      </c>
      <c r="K842" t="str">
        <f t="shared" si="263"/>
        <v xml:space="preserve">WOOD                          </v>
      </c>
      <c r="L842" t="str">
        <f>CLEAN("BABCOCK - NEKOOSA                  ")</f>
        <v xml:space="preserve">BABCOCK - NEKOOSA                  </v>
      </c>
      <c r="M842" t="str">
        <f>CLEAN("STH 80 NB TO CRANBERRY BRIDGE      ")</f>
        <v xml:space="preserve">STH 80 NB TO CRANBERRY BRIDGE      </v>
      </c>
      <c r="N842">
        <v>0</v>
      </c>
      <c r="O842" t="str">
        <f>CLEAN("          ")</f>
        <v xml:space="preserve">          </v>
      </c>
      <c r="P842" t="str">
        <f t="shared" ref="P842:P850" si="265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43" spans="1:16" x14ac:dyDescent="0.25">
      <c r="A843" t="str">
        <f t="shared" si="258"/>
        <v>10</v>
      </c>
      <c r="B843" t="str">
        <f t="shared" si="262"/>
        <v>24</v>
      </c>
      <c r="C843" s="1">
        <v>45636</v>
      </c>
      <c r="D843" t="str">
        <f>CLEAN("6933-00-61")</f>
        <v>6933-00-61</v>
      </c>
      <c r="E843" t="str">
        <f t="shared" si="264"/>
        <v xml:space="preserve">303  </v>
      </c>
      <c r="F843" t="str">
        <f>CLEAN("$250,000 - $499,999      ")</f>
        <v xml:space="preserve">$250,000 - $499,999      </v>
      </c>
      <c r="G843" t="str">
        <f t="shared" ref="G843:G852" si="266">CLEAN("LET")</f>
        <v>LET</v>
      </c>
      <c r="H843" t="str">
        <f t="shared" ref="H843:H852" si="267">CLEAN("LET CONSTRUCTION         ")</f>
        <v xml:space="preserve">LET CONSTRUCTION         </v>
      </c>
      <c r="I843" t="str">
        <f>CLEAN("CONST/PSRS20                       ")</f>
        <v xml:space="preserve">CONST/PSRS20                       </v>
      </c>
      <c r="J843" t="str">
        <f>CLEAN("STH 173")</f>
        <v>STH 173</v>
      </c>
      <c r="K843" t="str">
        <f t="shared" si="263"/>
        <v xml:space="preserve">WOOD                          </v>
      </c>
      <c r="L843" t="str">
        <f>CLEAN("BABCOCK - NEKOOSA                  ")</f>
        <v xml:space="preserve">BABCOCK - NEKOOSA                  </v>
      </c>
      <c r="M843" t="str">
        <f>CLEAN("CULVERT REPLACEMENT                ")</f>
        <v xml:space="preserve">CULVERT REPLACEMENT                </v>
      </c>
      <c r="N843">
        <v>3.5000000000000003E-2</v>
      </c>
      <c r="O843" t="str">
        <f>CLEAN("6933-00-77")</f>
        <v>6933-00-77</v>
      </c>
      <c r="P843" t="str">
        <f t="shared" si="265"/>
        <v xml:space="preserve">STATE 3R                                                                                            </v>
      </c>
    </row>
    <row r="844" spans="1:16" x14ac:dyDescent="0.25">
      <c r="A844" t="str">
        <f t="shared" si="258"/>
        <v>10</v>
      </c>
      <c r="B844" t="str">
        <f t="shared" si="262"/>
        <v>24</v>
      </c>
      <c r="C844" s="1">
        <v>45636</v>
      </c>
      <c r="D844" t="str">
        <f>CLEAN("6933-00-77")</f>
        <v>6933-00-77</v>
      </c>
      <c r="E844" t="str">
        <f t="shared" si="264"/>
        <v xml:space="preserve">303  </v>
      </c>
      <c r="F844" t="str">
        <f>CLEAN("$2,000,000 - $2,999,999  ")</f>
        <v xml:space="preserve">$2,000,000 - $2,999,999  </v>
      </c>
      <c r="G844" t="str">
        <f t="shared" si="266"/>
        <v>LET</v>
      </c>
      <c r="H844" t="str">
        <f t="shared" si="267"/>
        <v xml:space="preserve">LET CONSTRUCTION         </v>
      </c>
      <c r="I844" t="str">
        <f>CLEAN("CONST/RESURFACE                    ")</f>
        <v xml:space="preserve">CONST/RESURFACE                    </v>
      </c>
      <c r="J844" t="str">
        <f>CLEAN("STH 173")</f>
        <v>STH 173</v>
      </c>
      <c r="K844" t="str">
        <f t="shared" si="263"/>
        <v xml:space="preserve">WOOD                          </v>
      </c>
      <c r="L844" t="str">
        <f>CLEAN("BABCOCK - NEKOOSA                  ")</f>
        <v xml:space="preserve">BABCOCK - NEKOOSA                  </v>
      </c>
      <c r="M844" t="str">
        <f>CLEAN("STH 80 NB TO CRANBERRY BRIDGE      ")</f>
        <v xml:space="preserve">STH 80 NB TO CRANBERRY BRIDGE      </v>
      </c>
      <c r="N844">
        <v>5.23</v>
      </c>
      <c r="O844" t="str">
        <f>CLEAN("6933-00-61")</f>
        <v>6933-00-61</v>
      </c>
      <c r="P844" t="str">
        <f t="shared" si="265"/>
        <v xml:space="preserve">STATE 3R                                                                                            </v>
      </c>
    </row>
    <row r="845" spans="1:16" x14ac:dyDescent="0.25">
      <c r="A845" t="str">
        <f t="shared" si="258"/>
        <v>10</v>
      </c>
      <c r="B845" t="str">
        <f t="shared" si="262"/>
        <v>24</v>
      </c>
      <c r="C845" s="1">
        <v>45335</v>
      </c>
      <c r="D845" t="str">
        <f>CLEAN("6950-04-72")</f>
        <v>6950-04-72</v>
      </c>
      <c r="E845" t="str">
        <f t="shared" si="264"/>
        <v xml:space="preserve">303  </v>
      </c>
      <c r="F845" t="str">
        <f>CLEAN("$4,000,000 - $4,999,999  ")</f>
        <v xml:space="preserve">$4,000,000 - $4,999,999  </v>
      </c>
      <c r="G845" t="str">
        <f t="shared" si="266"/>
        <v>LET</v>
      </c>
      <c r="H845" t="str">
        <f t="shared" si="267"/>
        <v xml:space="preserve">LET CONSTRUCTION         </v>
      </c>
      <c r="I845" t="str">
        <f>CLEAN("CONST/RESURFACE                    ")</f>
        <v xml:space="preserve">CONST/RESURFACE                    </v>
      </c>
      <c r="J845" t="str">
        <f t="shared" ref="J845:J850" si="268">CLEAN("STH 054")</f>
        <v>STH 054</v>
      </c>
      <c r="K845" t="str">
        <f t="shared" si="263"/>
        <v xml:space="preserve">WOOD                          </v>
      </c>
      <c r="L845" t="str">
        <f t="shared" ref="L845:L850" si="269">CLEAN("DEXTERVILLE - WISCONSIN RAPIDS     ")</f>
        <v xml:space="preserve">DEXTERVILLE - WISCONSIN RAPIDS     </v>
      </c>
      <c r="M845" t="str">
        <f>CLEAN("SWANSON ROAD TO SENECA ROAD        ")</f>
        <v xml:space="preserve">SWANSON ROAD TO SENECA ROAD        </v>
      </c>
      <c r="N845">
        <v>3.88</v>
      </c>
      <c r="O845" t="str">
        <f>CLEAN("6950-04-73")</f>
        <v>6950-04-73</v>
      </c>
      <c r="P845" t="str">
        <f t="shared" si="265"/>
        <v xml:space="preserve">STATE 3R                                                                                            </v>
      </c>
    </row>
    <row r="846" spans="1:16" x14ac:dyDescent="0.25">
      <c r="A846" t="str">
        <f t="shared" si="258"/>
        <v>10</v>
      </c>
      <c r="B846" t="str">
        <f t="shared" si="262"/>
        <v>24</v>
      </c>
      <c r="C846" s="1">
        <v>45335</v>
      </c>
      <c r="D846" t="str">
        <f>CLEAN("6950-04-72")</f>
        <v>6950-04-72</v>
      </c>
      <c r="E846" t="str">
        <f t="shared" si="264"/>
        <v xml:space="preserve">303  </v>
      </c>
      <c r="F846" t="str">
        <f>CLEAN("$4,000,000 - $4,999,999  ")</f>
        <v xml:space="preserve">$4,000,000 - $4,999,999  </v>
      </c>
      <c r="G846" t="str">
        <f t="shared" si="266"/>
        <v>LET</v>
      </c>
      <c r="H846" t="str">
        <f t="shared" si="267"/>
        <v xml:space="preserve">LET CONSTRUCTION         </v>
      </c>
      <c r="I846" t="str">
        <f>CLEAN("CONST/RESURFACE                    ")</f>
        <v xml:space="preserve">CONST/RESURFACE                    </v>
      </c>
      <c r="J846" t="str">
        <f t="shared" si="268"/>
        <v>STH 054</v>
      </c>
      <c r="K846" t="str">
        <f t="shared" si="263"/>
        <v xml:space="preserve">WOOD                          </v>
      </c>
      <c r="L846" t="str">
        <f t="shared" si="269"/>
        <v xml:space="preserve">DEXTERVILLE - WISCONSIN RAPIDS     </v>
      </c>
      <c r="M846" t="str">
        <f>CLEAN("SWANSON ROAD TO SENECA ROAD        ")</f>
        <v xml:space="preserve">SWANSON ROAD TO SENECA ROAD        </v>
      </c>
      <c r="N846">
        <v>3.88</v>
      </c>
      <c r="O846" t="str">
        <f>CLEAN("6950-04-82")</f>
        <v>6950-04-82</v>
      </c>
      <c r="P846" t="str">
        <f t="shared" si="265"/>
        <v xml:space="preserve">STATE 3R                                                                                            </v>
      </c>
    </row>
    <row r="847" spans="1:16" x14ac:dyDescent="0.25">
      <c r="A847" t="str">
        <f t="shared" si="258"/>
        <v>10</v>
      </c>
      <c r="B847" t="str">
        <f t="shared" si="262"/>
        <v>24</v>
      </c>
      <c r="C847" s="1">
        <v>45335</v>
      </c>
      <c r="D847" t="str">
        <f>CLEAN("6950-04-73")</f>
        <v>6950-04-73</v>
      </c>
      <c r="E847" t="str">
        <f t="shared" si="264"/>
        <v xml:space="preserve">303  </v>
      </c>
      <c r="F847" t="str">
        <f>CLEAN("$500,000 - $749,999      ")</f>
        <v xml:space="preserve">$500,000 - $749,999      </v>
      </c>
      <c r="G847" t="str">
        <f t="shared" si="266"/>
        <v>LET</v>
      </c>
      <c r="H847" t="str">
        <f t="shared" si="267"/>
        <v xml:space="preserve">LET CONSTRUCTION         </v>
      </c>
      <c r="I847" t="str">
        <f>CLEAN("CONST/RESURFACE                    ")</f>
        <v xml:space="preserve">CONST/RESURFACE                    </v>
      </c>
      <c r="J847" t="str">
        <f t="shared" si="268"/>
        <v>STH 054</v>
      </c>
      <c r="K847" t="str">
        <f t="shared" si="263"/>
        <v xml:space="preserve">WOOD                          </v>
      </c>
      <c r="L847" t="str">
        <f t="shared" si="269"/>
        <v xml:space="preserve">DEXTERVILLE - WISCONSIN RAPIDS     </v>
      </c>
      <c r="M847" t="str">
        <f>CLEAN("CTH G TO SWANSON ROAD              ")</f>
        <v xml:space="preserve">CTH G TO SWANSON ROAD              </v>
      </c>
      <c r="N847">
        <v>1.2</v>
      </c>
      <c r="O847" t="str">
        <f>CLEAN("6950-04-72")</f>
        <v>6950-04-72</v>
      </c>
      <c r="P847" t="str">
        <f t="shared" si="265"/>
        <v xml:space="preserve">STATE 3R                                                                                            </v>
      </c>
    </row>
    <row r="848" spans="1:16" x14ac:dyDescent="0.25">
      <c r="A848" t="str">
        <f t="shared" si="258"/>
        <v>10</v>
      </c>
      <c r="B848" t="str">
        <f t="shared" si="262"/>
        <v>24</v>
      </c>
      <c r="C848" s="1">
        <v>45335</v>
      </c>
      <c r="D848" t="str">
        <f>CLEAN("6950-04-73")</f>
        <v>6950-04-73</v>
      </c>
      <c r="E848" t="str">
        <f t="shared" si="264"/>
        <v xml:space="preserve">303  </v>
      </c>
      <c r="F848" t="str">
        <f>CLEAN("$500,000 - $749,999      ")</f>
        <v xml:space="preserve">$500,000 - $749,999      </v>
      </c>
      <c r="G848" t="str">
        <f t="shared" si="266"/>
        <v>LET</v>
      </c>
      <c r="H848" t="str">
        <f t="shared" si="267"/>
        <v xml:space="preserve">LET CONSTRUCTION         </v>
      </c>
      <c r="I848" t="str">
        <f>CLEAN("CONST/RESURFACE                    ")</f>
        <v xml:space="preserve">CONST/RESURFACE                    </v>
      </c>
      <c r="J848" t="str">
        <f t="shared" si="268"/>
        <v>STH 054</v>
      </c>
      <c r="K848" t="str">
        <f t="shared" si="263"/>
        <v xml:space="preserve">WOOD                          </v>
      </c>
      <c r="L848" t="str">
        <f t="shared" si="269"/>
        <v xml:space="preserve">DEXTERVILLE - WISCONSIN RAPIDS     </v>
      </c>
      <c r="M848" t="str">
        <f>CLEAN("CTH G TO SWANSON ROAD              ")</f>
        <v xml:space="preserve">CTH G TO SWANSON ROAD              </v>
      </c>
      <c r="N848">
        <v>1.2</v>
      </c>
      <c r="O848" t="str">
        <f>CLEAN("6950-04-82")</f>
        <v>6950-04-82</v>
      </c>
      <c r="P848" t="str">
        <f t="shared" si="265"/>
        <v xml:space="preserve">STATE 3R                                                                                            </v>
      </c>
    </row>
    <row r="849" spans="1:16" x14ac:dyDescent="0.25">
      <c r="A849" t="str">
        <f t="shared" si="258"/>
        <v>10</v>
      </c>
      <c r="B849" t="str">
        <f t="shared" si="262"/>
        <v>24</v>
      </c>
      <c r="C849" s="1">
        <v>45335</v>
      </c>
      <c r="D849" t="str">
        <f>CLEAN("6950-04-82")</f>
        <v>6950-04-82</v>
      </c>
      <c r="E849" t="str">
        <f t="shared" si="264"/>
        <v xml:space="preserve">303  </v>
      </c>
      <c r="F849" t="str">
        <f>CLEAN("$0 - $99,999             ")</f>
        <v xml:space="preserve">$0 - $99,999             </v>
      </c>
      <c r="G849" t="str">
        <f t="shared" si="266"/>
        <v>LET</v>
      </c>
      <c r="H849" t="str">
        <f t="shared" si="267"/>
        <v xml:space="preserve">LET CONSTRUCTION         </v>
      </c>
      <c r="I849" t="str">
        <f>CLEAN("CONST/LOCAL UTILITIES/RESURFACE    ")</f>
        <v xml:space="preserve">CONST/LOCAL UTILITIES/RESURFACE    </v>
      </c>
      <c r="J849" t="str">
        <f t="shared" si="268"/>
        <v>STH 054</v>
      </c>
      <c r="K849" t="str">
        <f t="shared" si="263"/>
        <v xml:space="preserve">WOOD                          </v>
      </c>
      <c r="L849" t="str">
        <f t="shared" si="269"/>
        <v xml:space="preserve">DEXTERVILLE - WISCONSIN RAPIDS     </v>
      </c>
      <c r="M849" t="str">
        <f>CLEAN("SWANSON ROAD TO SENECA ROAD        ")</f>
        <v xml:space="preserve">SWANSON ROAD TO SENECA ROAD        </v>
      </c>
      <c r="N849">
        <v>0</v>
      </c>
      <c r="O849" t="str">
        <f>CLEAN("6950-04-72")</f>
        <v>6950-04-72</v>
      </c>
      <c r="P849" t="str">
        <f t="shared" si="265"/>
        <v xml:space="preserve">STATE 3R                                                                                            </v>
      </c>
    </row>
    <row r="850" spans="1:16" x14ac:dyDescent="0.25">
      <c r="A850" t="str">
        <f t="shared" si="258"/>
        <v>10</v>
      </c>
      <c r="B850" t="str">
        <f t="shared" si="262"/>
        <v>24</v>
      </c>
      <c r="C850" s="1">
        <v>45335</v>
      </c>
      <c r="D850" t="str">
        <f>CLEAN("6950-04-82")</f>
        <v>6950-04-82</v>
      </c>
      <c r="E850" t="str">
        <f t="shared" si="264"/>
        <v xml:space="preserve">303  </v>
      </c>
      <c r="F850" t="str">
        <f>CLEAN("$0 - $99,999             ")</f>
        <v xml:space="preserve">$0 - $99,999             </v>
      </c>
      <c r="G850" t="str">
        <f t="shared" si="266"/>
        <v>LET</v>
      </c>
      <c r="H850" t="str">
        <f t="shared" si="267"/>
        <v xml:space="preserve">LET CONSTRUCTION         </v>
      </c>
      <c r="I850" t="str">
        <f>CLEAN("CONST/LOCAL UTILITIES/RESURFACE    ")</f>
        <v xml:space="preserve">CONST/LOCAL UTILITIES/RESURFACE    </v>
      </c>
      <c r="J850" t="str">
        <f t="shared" si="268"/>
        <v>STH 054</v>
      </c>
      <c r="K850" t="str">
        <f t="shared" si="263"/>
        <v xml:space="preserve">WOOD                          </v>
      </c>
      <c r="L850" t="str">
        <f t="shared" si="269"/>
        <v xml:space="preserve">DEXTERVILLE - WISCONSIN RAPIDS     </v>
      </c>
      <c r="M850" t="str">
        <f>CLEAN("SWANSON ROAD TO SENECA ROAD        ")</f>
        <v xml:space="preserve">SWANSON ROAD TO SENECA ROAD        </v>
      </c>
      <c r="N850">
        <v>0</v>
      </c>
      <c r="O850" t="str">
        <f>CLEAN("6950-04-73")</f>
        <v>6950-04-73</v>
      </c>
      <c r="P850" t="str">
        <f t="shared" si="265"/>
        <v xml:space="preserve">STATE 3R                                                                                            </v>
      </c>
    </row>
    <row r="851" spans="1:16" x14ac:dyDescent="0.25">
      <c r="A851" t="str">
        <f t="shared" si="258"/>
        <v>10</v>
      </c>
      <c r="B851" t="str">
        <f t="shared" si="262"/>
        <v>24</v>
      </c>
      <c r="C851" s="1">
        <v>45608</v>
      </c>
      <c r="D851" t="str">
        <f>CLEAN("6952-01-71")</f>
        <v>6952-01-71</v>
      </c>
      <c r="E851" t="str">
        <f>CLEAN("205  ")</f>
        <v xml:space="preserve">205  </v>
      </c>
      <c r="F851" t="str">
        <f>CLEAN("$500,000 - $749,999      ")</f>
        <v xml:space="preserve">$500,000 - $749,999      </v>
      </c>
      <c r="G851" t="str">
        <f t="shared" si="266"/>
        <v>LET</v>
      </c>
      <c r="H851" t="str">
        <f t="shared" si="267"/>
        <v xml:space="preserve">LET CONSTRUCTION         </v>
      </c>
      <c r="I851" t="str">
        <f>CLEAN("CONST/REPLACEMENT                  ")</f>
        <v xml:space="preserve">CONST/REPLACEMENT                  </v>
      </c>
      <c r="J851" t="str">
        <f>CLEAN("LOC STR")</f>
        <v>LOC STR</v>
      </c>
      <c r="K851" t="str">
        <f t="shared" si="263"/>
        <v xml:space="preserve">WOOD                          </v>
      </c>
      <c r="L851" t="str">
        <f>CLEAN("T MARSHFIELD, STADT ROAD           ")</f>
        <v xml:space="preserve">T MARSHFIELD, STADT ROAD           </v>
      </c>
      <c r="M851" t="str">
        <f>CLEAN("STRUCTURE REPLACEMENT P-71-0927    ")</f>
        <v xml:space="preserve">STRUCTURE REPLACEMENT P-71-0927    </v>
      </c>
      <c r="N851">
        <v>0</v>
      </c>
      <c r="O851" t="str">
        <f t="shared" ref="O851:O882" si="270">CLEAN("          ")</f>
        <v xml:space="preserve">          </v>
      </c>
      <c r="P85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52" spans="1:16" x14ac:dyDescent="0.25">
      <c r="A852" t="str">
        <f t="shared" si="258"/>
        <v>10</v>
      </c>
      <c r="B852" t="str">
        <f>CLEAN("21")</f>
        <v>21</v>
      </c>
      <c r="C852" s="1">
        <v>45636</v>
      </c>
      <c r="D852" t="str">
        <f>CLEAN("6992-00-21")</f>
        <v>6992-00-21</v>
      </c>
      <c r="E852" t="str">
        <f>CLEAN("206  ")</f>
        <v xml:space="preserve">206  </v>
      </c>
      <c r="F852" t="str">
        <f>CLEAN("$1,000,000 - $1,999,999  ")</f>
        <v xml:space="preserve">$1,000,000 - $1,999,999  </v>
      </c>
      <c r="G852" t="str">
        <f t="shared" si="266"/>
        <v>LET</v>
      </c>
      <c r="H852" t="str">
        <f t="shared" si="267"/>
        <v xml:space="preserve">LET CONSTRUCTION         </v>
      </c>
      <c r="I852" t="str">
        <f>CLEAN("CONST OPS/PAVEMENT REPLACEMENT     ")</f>
        <v xml:space="preserve">CONST OPS/PAVEMENT REPLACEMENT     </v>
      </c>
      <c r="J852" t="str">
        <f>CLEAN("LOC STR")</f>
        <v>LOC STR</v>
      </c>
      <c r="K852" t="str">
        <f>CLEAN("DANE                          ")</f>
        <v xml:space="preserve">DANE                          </v>
      </c>
      <c r="L852" t="str">
        <f>CLEAN("VILLAGE OF WINDSOR, WINDSOR        ")</f>
        <v xml:space="preserve">VILLAGE OF WINDSOR, WINDSOR        </v>
      </c>
      <c r="M852" t="str">
        <f>CLEAN("CHARILE GRIMM ROAD TO CTH CV       ")</f>
        <v xml:space="preserve">CHARILE GRIMM ROAD TO CTH CV       </v>
      </c>
      <c r="N852">
        <v>0.25</v>
      </c>
      <c r="O852" t="str">
        <f t="shared" si="270"/>
        <v xml:space="preserve">          </v>
      </c>
      <c r="P85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853" spans="1:16" x14ac:dyDescent="0.25">
      <c r="A853" t="str">
        <f t="shared" si="258"/>
        <v>10</v>
      </c>
      <c r="B853" t="str">
        <f>CLEAN("21")</f>
        <v>21</v>
      </c>
      <c r="C853" s="1">
        <v>45316</v>
      </c>
      <c r="D853" t="str">
        <f>CLEAN("6995-00-09")</f>
        <v>6995-00-09</v>
      </c>
      <c r="E853" t="str">
        <f>CLEAN("206  ")</f>
        <v xml:space="preserve">206  </v>
      </c>
      <c r="F853" t="str">
        <f>CLEAN("$250,000 - $499,999      ")</f>
        <v xml:space="preserve">$250,000 - $499,999      </v>
      </c>
      <c r="G853" t="str">
        <f>CLEAN("MIS")</f>
        <v>MIS</v>
      </c>
      <c r="H853" t="str">
        <f>CLEAN("NONLET CONSTR/REAL ESTATE")</f>
        <v>NONLET CONSTR/REAL ESTATE</v>
      </c>
      <c r="I853" t="str">
        <f>CLEAN("CONST/CARBON RED-LED LIGHTING      ")</f>
        <v xml:space="preserve">CONST/CARBON RED-LED LIGHTING      </v>
      </c>
      <c r="J853" t="str">
        <f>CLEAN("VAR HWY")</f>
        <v>VAR HWY</v>
      </c>
      <c r="K853" t="str">
        <f>CLEAN("DODGE                         ")</f>
        <v xml:space="preserve">DODGE                         </v>
      </c>
      <c r="L853" t="str">
        <f>CLEAN("C BEAVER DAM, LED STREET LIGHTS    ")</f>
        <v xml:space="preserve">C BEAVER DAM, LED STREET LIGHTS    </v>
      </c>
      <c r="M853" t="str">
        <f>CLEAN("VARIOUS LOCATIONS - C BEAVER DAM   ")</f>
        <v xml:space="preserve">VARIOUS LOCATIONS - C BEAVER DAM   </v>
      </c>
      <c r="N853">
        <v>0</v>
      </c>
      <c r="O853" t="str">
        <f t="shared" si="270"/>
        <v xml:space="preserve">          </v>
      </c>
      <c r="P853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854" spans="1:16" x14ac:dyDescent="0.25">
      <c r="A854" t="str">
        <f t="shared" si="258"/>
        <v>10</v>
      </c>
      <c r="B854" t="str">
        <f t="shared" ref="B854:B866" si="271">CLEAN("24")</f>
        <v>24</v>
      </c>
      <c r="C854" s="1">
        <v>45560</v>
      </c>
      <c r="D854" t="str">
        <f>CLEAN("6995-11-81")</f>
        <v>6995-11-81</v>
      </c>
      <c r="E854" t="str">
        <f>CLEAN("206  ")</f>
        <v xml:space="preserve">206  </v>
      </c>
      <c r="F854" t="str">
        <f>CLEAN("$500,000 - $749,999      ")</f>
        <v xml:space="preserve">$500,000 - $749,999      </v>
      </c>
      <c r="G854" t="str">
        <f>CLEAN("LFA")</f>
        <v>LFA</v>
      </c>
      <c r="H854" t="str">
        <f>CLEAN("NONLET CONSTR/REAL ESTATE")</f>
        <v>NONLET CONSTR/REAL ESTATE</v>
      </c>
      <c r="I854" t="str">
        <f>CLEAN("CONST/CRP/MISC                     ")</f>
        <v xml:space="preserve">CONST/CRP/MISC                     </v>
      </c>
      <c r="J854" t="str">
        <f>CLEAN("LOC STR")</f>
        <v>LOC STR</v>
      </c>
      <c r="K854" t="str">
        <f>CLEAN("WOOD                          ")</f>
        <v xml:space="preserve">WOOD                          </v>
      </c>
      <c r="L854" t="str">
        <f>CLEAN("MARSHFIELD STREETLIGHT CONVERSION  ")</f>
        <v xml:space="preserve">MARSHFIELD STREETLIGHT CONVERSION  </v>
      </c>
      <c r="M854" t="str">
        <f>CLEAN("VARIOUS STREET LOCATIONS           ")</f>
        <v xml:space="preserve">VARIOUS STREET LOCATIONS           </v>
      </c>
      <c r="N854">
        <v>0</v>
      </c>
      <c r="O854" t="str">
        <f t="shared" si="270"/>
        <v xml:space="preserve">          </v>
      </c>
      <c r="P854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855" spans="1:16" x14ac:dyDescent="0.25">
      <c r="A855" t="str">
        <f t="shared" si="258"/>
        <v>10</v>
      </c>
      <c r="B855" t="str">
        <f t="shared" si="271"/>
        <v>24</v>
      </c>
      <c r="C855" s="1">
        <v>45407</v>
      </c>
      <c r="D855" t="str">
        <f>CLEAN("6995-12-71")</f>
        <v>6995-12-71</v>
      </c>
      <c r="E855" t="str">
        <f>CLEAN("290  ")</f>
        <v xml:space="preserve">290  </v>
      </c>
      <c r="F855" t="str">
        <f>CLEAN("$250,000 - $499,999      ")</f>
        <v xml:space="preserve">$250,000 - $499,999      </v>
      </c>
      <c r="G855" t="str">
        <f>CLEAN("LLC")</f>
        <v>LLC</v>
      </c>
      <c r="H855" t="str">
        <f>CLEAN("NONLET CONSTR/REAL ESTATE")</f>
        <v>NONLET CONSTR/REAL ESTATE</v>
      </c>
      <c r="I855" t="str">
        <f>CLEAN("CONST/MISC                         ")</f>
        <v xml:space="preserve">CONST/MISC                         </v>
      </c>
      <c r="J855" t="str">
        <f>CLEAN("NON HWY")</f>
        <v>NON HWY</v>
      </c>
      <c r="K855" t="str">
        <f>CLEAN("WOOD                          ")</f>
        <v xml:space="preserve">WOOD                          </v>
      </c>
      <c r="L855" t="str">
        <f>CLEAN("ADLER ROAD TRAIL EXTENSION         ")</f>
        <v xml:space="preserve">ADLER ROAD TRAIL EXTENSION         </v>
      </c>
      <c r="M855" t="str">
        <f>CLEAN("CITY OF MARSHFIELD                 ")</f>
        <v xml:space="preserve">CITY OF MARSHFIELD                 </v>
      </c>
      <c r="N855">
        <v>0</v>
      </c>
      <c r="O855" t="str">
        <f t="shared" si="270"/>
        <v xml:space="preserve">          </v>
      </c>
      <c r="P855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856" spans="1:16" x14ac:dyDescent="0.25">
      <c r="A856" t="str">
        <f t="shared" si="258"/>
        <v>10</v>
      </c>
      <c r="B856" t="str">
        <f t="shared" si="271"/>
        <v>24</v>
      </c>
      <c r="C856" s="1">
        <v>45335</v>
      </c>
      <c r="D856" t="str">
        <f>CLEAN("6996-04-72")</f>
        <v>6996-04-72</v>
      </c>
      <c r="E856" t="str">
        <f>CLEAN("206  ")</f>
        <v xml:space="preserve">206  </v>
      </c>
      <c r="F856" t="str">
        <f>CLEAN("$2,000,000 - $2,999,999  ")</f>
        <v xml:space="preserve">$2,000,000 - $2,999,999  </v>
      </c>
      <c r="G856" t="str">
        <f>CLEAN("LET")</f>
        <v>LET</v>
      </c>
      <c r="H856" t="str">
        <f>CLEAN("LET CONSTRUCTION         ")</f>
        <v xml:space="preserve">LET CONSTRUCTION         </v>
      </c>
      <c r="I856" t="str">
        <f>CLEAN("CONST/RECONSTRUCT                  ")</f>
        <v xml:space="preserve">CONST/RECONSTRUCT                  </v>
      </c>
      <c r="J856" t="str">
        <f>CLEAN("CTH D  ")</f>
        <v xml:space="preserve">CTH D  </v>
      </c>
      <c r="K856" t="str">
        <f>CLEAN("WAUPACA                       ")</f>
        <v xml:space="preserve">WAUPACA                       </v>
      </c>
      <c r="L856" t="str">
        <f>CLEAN("C NEW LONDON, N WATER STREET       ")</f>
        <v xml:space="preserve">C NEW LONDON, N WATER STREET       </v>
      </c>
      <c r="M856" t="str">
        <f>CLEAN("SHAWANO STREET TO N PEARL STREET   ")</f>
        <v xml:space="preserve">SHAWANO STREET TO N PEARL STREET   </v>
      </c>
      <c r="N856">
        <v>0.3</v>
      </c>
      <c r="O856" t="str">
        <f t="shared" si="270"/>
        <v xml:space="preserve">          </v>
      </c>
      <c r="P856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857" spans="1:16" x14ac:dyDescent="0.25">
      <c r="A857" t="str">
        <f t="shared" si="258"/>
        <v>10</v>
      </c>
      <c r="B857" t="str">
        <f t="shared" si="271"/>
        <v>24</v>
      </c>
      <c r="C857" s="1">
        <v>45300</v>
      </c>
      <c r="D857" t="str">
        <f>CLEAN("6997-04-70")</f>
        <v>6997-04-70</v>
      </c>
      <c r="E857" t="str">
        <f>CLEAN("206  ")</f>
        <v xml:space="preserve">206  </v>
      </c>
      <c r="F857" t="str">
        <f>CLEAN("$750,000 - $999,999      ")</f>
        <v xml:space="preserve">$750,000 - $999,999      </v>
      </c>
      <c r="G857" t="str">
        <f>CLEAN("LET")</f>
        <v>LET</v>
      </c>
      <c r="H857" t="str">
        <f>CLEAN("LET CONSTRUCTION         ")</f>
        <v xml:space="preserve">LET CONSTRUCTION         </v>
      </c>
      <c r="I857" t="str">
        <f>CLEAN("CONST/RECONSTRUCT                  ")</f>
        <v xml:space="preserve">CONST/RECONSTRUCT                  </v>
      </c>
      <c r="J857" t="str">
        <f>CLEAN("LOC STR")</f>
        <v>LOC STR</v>
      </c>
      <c r="K857" t="str">
        <f>CLEAN("SHAWANO                       ")</f>
        <v xml:space="preserve">SHAWANO                       </v>
      </c>
      <c r="L857" t="str">
        <f>CLEAN("C SHAWANO, E FIFTH STREET          ")</f>
        <v xml:space="preserve">C SHAWANO, E FIFTH STREET          </v>
      </c>
      <c r="M857" t="str">
        <f>CLEAN("N MAIN STREET TO N HAMLIN STREET   ")</f>
        <v xml:space="preserve">N MAIN STREET TO N HAMLIN STREET   </v>
      </c>
      <c r="N857">
        <v>0.35899999999999999</v>
      </c>
      <c r="O857" t="str">
        <f t="shared" si="270"/>
        <v xml:space="preserve">          </v>
      </c>
      <c r="P857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858" spans="1:16" x14ac:dyDescent="0.25">
      <c r="A858" t="str">
        <f t="shared" si="258"/>
        <v>10</v>
      </c>
      <c r="B858" t="str">
        <f t="shared" si="271"/>
        <v>24</v>
      </c>
      <c r="C858" s="1">
        <v>45608</v>
      </c>
      <c r="D858" t="str">
        <f>CLEAN("6998-13-73")</f>
        <v>6998-13-73</v>
      </c>
      <c r="E858" t="str">
        <f>CLEAN("205  ")</f>
        <v xml:space="preserve">205  </v>
      </c>
      <c r="F858" t="str">
        <f>CLEAN("$250,000 - $499,999      ")</f>
        <v xml:space="preserve">$250,000 - $499,999      </v>
      </c>
      <c r="G858" t="str">
        <f>CLEAN("LET")</f>
        <v>LET</v>
      </c>
      <c r="H858" t="str">
        <f>CLEAN("LET CONSTRUCTION         ")</f>
        <v xml:space="preserve">LET CONSTRUCTION         </v>
      </c>
      <c r="I858" t="str">
        <f>CLEAN("CONST/REHAB/DECK OVERLAY           ")</f>
        <v xml:space="preserve">CONST/REHAB/DECK OVERLAY           </v>
      </c>
      <c r="J858" t="str">
        <f>CLEAN("LOC STR")</f>
        <v>LOC STR</v>
      </c>
      <c r="K858" t="str">
        <f>CLEAN("PORTAGE                       ")</f>
        <v xml:space="preserve">PORTAGE                       </v>
      </c>
      <c r="L858" t="str">
        <f>CLEAN("C STEVENS POINT, WEST ZINDA DRIVE  ")</f>
        <v xml:space="preserve">C STEVENS POINT, WEST ZINDA DRIVE  </v>
      </c>
      <c r="M858" t="str">
        <f>CLEAN("ROCKY RUN CREEK BRIDGE B490061     ")</f>
        <v xml:space="preserve">ROCKY RUN CREEK BRIDGE B490061     </v>
      </c>
      <c r="N858">
        <v>0</v>
      </c>
      <c r="O858" t="str">
        <f t="shared" si="270"/>
        <v xml:space="preserve">          </v>
      </c>
      <c r="P85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59" spans="1:16" x14ac:dyDescent="0.25">
      <c r="A859" t="str">
        <f t="shared" si="258"/>
        <v>10</v>
      </c>
      <c r="B859" t="str">
        <f t="shared" si="271"/>
        <v>24</v>
      </c>
      <c r="C859" s="1">
        <v>45285</v>
      </c>
      <c r="D859" t="str">
        <f>CLEAN("6998-15-20")</f>
        <v>6998-15-20</v>
      </c>
      <c r="E859" t="str">
        <f>CLEAN("303  ")</f>
        <v xml:space="preserve">303  </v>
      </c>
      <c r="F859" t="str">
        <f>CLEAN("$100,000-$249,999        ")</f>
        <v xml:space="preserve">$100,000-$249,999        </v>
      </c>
      <c r="G859" t="str">
        <f>CLEAN("R/E")</f>
        <v>R/E</v>
      </c>
      <c r="H859" t="str">
        <f>CLEAN("NONLET CONSTR/REAL ESTATE")</f>
        <v>NONLET CONSTR/REAL ESTATE</v>
      </c>
      <c r="I859" t="str">
        <f>CLEAN("PER WISDOT ADA TRANS PLAN 303 RAMPS")</f>
        <v>PER WISDOT ADA TRANS PLAN 303 RAMPS</v>
      </c>
      <c r="J859" t="str">
        <f>CLEAN("STH 066")</f>
        <v>STH 066</v>
      </c>
      <c r="K859" t="str">
        <f>CLEAN("PORTAGE                       ")</f>
        <v xml:space="preserve">PORTAGE                       </v>
      </c>
      <c r="L859" t="str">
        <f>CLEAN("C STEVENS POINT, VARIOUS STREETS   ")</f>
        <v xml:space="preserve">C STEVENS POINT, VARIOUS STREETS   </v>
      </c>
      <c r="M859" t="str">
        <f>CLEAN("US10/STH66 CURB RAMP IMPROVEMENTS  ")</f>
        <v xml:space="preserve">US10/STH66 CURB RAMP IMPROVEMENTS  </v>
      </c>
      <c r="N859">
        <v>4.7699999999999996</v>
      </c>
      <c r="O859" t="str">
        <f t="shared" si="270"/>
        <v xml:space="preserve">          </v>
      </c>
      <c r="P859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860" spans="1:16" x14ac:dyDescent="0.25">
      <c r="A860" t="str">
        <f t="shared" si="258"/>
        <v>10</v>
      </c>
      <c r="B860" t="str">
        <f t="shared" si="271"/>
        <v>24</v>
      </c>
      <c r="C860" s="1">
        <v>45426</v>
      </c>
      <c r="D860" t="str">
        <f>CLEAN("6999-00-83")</f>
        <v>6999-00-83</v>
      </c>
      <c r="E860" t="str">
        <f>CLEAN("206  ")</f>
        <v xml:space="preserve">206  </v>
      </c>
      <c r="F860" t="str">
        <f>CLEAN("$250,000 - $499,999      ")</f>
        <v xml:space="preserve">$250,000 - $499,999      </v>
      </c>
      <c r="G860" t="str">
        <f>CLEAN("LET")</f>
        <v>LET</v>
      </c>
      <c r="H860" t="str">
        <f>CLEAN("LET CONSTRUCTION         ")</f>
        <v xml:space="preserve">LET CONSTRUCTION         </v>
      </c>
      <c r="I860" t="str">
        <f>CLEAN("CONST/PVRPLA                       ")</f>
        <v xml:space="preserve">CONST/PVRPLA                       </v>
      </c>
      <c r="J860" t="str">
        <f>CLEAN("LOC STR")</f>
        <v>LOC STR</v>
      </c>
      <c r="K860" t="str">
        <f>CLEAN("MARATHON                      ")</f>
        <v xml:space="preserve">MARATHON                      </v>
      </c>
      <c r="L860" t="str">
        <f>CLEAN("T WESTON, GUSMAN ROAD              ")</f>
        <v xml:space="preserve">T WESTON, GUSMAN ROAD              </v>
      </c>
      <c r="M860" t="str">
        <f>CLEAN("KRAMER LANE TO CTH J               ")</f>
        <v xml:space="preserve">KRAMER LANE TO CTH J               </v>
      </c>
      <c r="N860">
        <v>1.69</v>
      </c>
      <c r="O860" t="str">
        <f t="shared" si="270"/>
        <v xml:space="preserve">          </v>
      </c>
      <c r="P860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861" spans="1:16" x14ac:dyDescent="0.25">
      <c r="A861" t="str">
        <f t="shared" si="258"/>
        <v>10</v>
      </c>
      <c r="B861" t="str">
        <f t="shared" si="271"/>
        <v>24</v>
      </c>
      <c r="C861" s="1">
        <v>45335</v>
      </c>
      <c r="D861" t="str">
        <f>CLEAN("6999-09-72")</f>
        <v>6999-09-72</v>
      </c>
      <c r="E861" t="str">
        <f>CLEAN("206  ")</f>
        <v xml:space="preserve">206  </v>
      </c>
      <c r="F861" t="str">
        <f>CLEAN("$7,000,000 - $7,999,999  ")</f>
        <v xml:space="preserve">$7,000,000 - $7,999,999  </v>
      </c>
      <c r="G861" t="str">
        <f>CLEAN("LET")</f>
        <v>LET</v>
      </c>
      <c r="H861" t="str">
        <f>CLEAN("LET CONSTRUCTION         ")</f>
        <v xml:space="preserve">LET CONSTRUCTION         </v>
      </c>
      <c r="I861" t="str">
        <f>CLEAN("CONST/RECONSTRUCT                  ")</f>
        <v xml:space="preserve">CONST/RECONSTRUCT                  </v>
      </c>
      <c r="J861" t="str">
        <f>CLEAN("LOC STR")</f>
        <v>LOC STR</v>
      </c>
      <c r="K861" t="str">
        <f>CLEAN("MARATHON                      ")</f>
        <v xml:space="preserve">MARATHON                      </v>
      </c>
      <c r="L861" t="str">
        <f>CLEAN("C WAUSAU, STEWART AVENUE           ")</f>
        <v xml:space="preserve">C WAUSAU, STEWART AVENUE           </v>
      </c>
      <c r="M861" t="str">
        <f>CLEAN("S 72ND AVENUE TO S 48TH AVENUE     ")</f>
        <v xml:space="preserve">S 72ND AVENUE TO S 48TH AVENUE     </v>
      </c>
      <c r="N861">
        <v>1.48</v>
      </c>
      <c r="O861" t="str">
        <f t="shared" si="270"/>
        <v xml:space="preserve">          </v>
      </c>
      <c r="P861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862" spans="1:16" x14ac:dyDescent="0.25">
      <c r="A862" t="str">
        <f t="shared" si="258"/>
        <v>10</v>
      </c>
      <c r="B862" t="str">
        <f t="shared" si="271"/>
        <v>24</v>
      </c>
      <c r="C862" s="1">
        <v>45316</v>
      </c>
      <c r="D862" t="str">
        <f>CLEAN("6999-10-25")</f>
        <v>6999-10-25</v>
      </c>
      <c r="E862" t="str">
        <f>CLEAN("303  ")</f>
        <v xml:space="preserve">303  </v>
      </c>
      <c r="F862" t="str">
        <f>CLEAN("$0 - $99,999             ")</f>
        <v xml:space="preserve">$0 - $99,999             </v>
      </c>
      <c r="G862" t="str">
        <f>CLEAN("R/E")</f>
        <v>R/E</v>
      </c>
      <c r="H862" t="str">
        <f>CLEAN("NONLET CONSTR/REAL ESTATE")</f>
        <v>NONLET CONSTR/REAL ESTATE</v>
      </c>
      <c r="I862" t="str">
        <f>CLEAN("REAL ESTATE/PAVEMENT REPLACEMENT   ")</f>
        <v xml:space="preserve">REAL ESTATE/PAVEMENT REPLACEMENT   </v>
      </c>
      <c r="J862" t="str">
        <f>CLEAN("BUS 051")</f>
        <v>BUS 051</v>
      </c>
      <c r="K862" t="str">
        <f>CLEAN("MARATHON                      ")</f>
        <v xml:space="preserve">MARATHON                      </v>
      </c>
      <c r="L862" t="str">
        <f>CLEAN("ROTHSCHILD - SCHOFIELD             ")</f>
        <v xml:space="preserve">ROTHSCHILD - SCHOFIELD             </v>
      </c>
      <c r="M862" t="str">
        <f>CLEAN("EVEREST DRIVE TO SCHOFIELD AVENUE  ")</f>
        <v xml:space="preserve">EVEREST DRIVE TO SCHOFIELD AVENUE  </v>
      </c>
      <c r="N862">
        <v>1.25</v>
      </c>
      <c r="O862" t="str">
        <f t="shared" si="270"/>
        <v xml:space="preserve">          </v>
      </c>
      <c r="P86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63" spans="1:16" x14ac:dyDescent="0.25">
      <c r="A863" t="str">
        <f t="shared" si="258"/>
        <v>10</v>
      </c>
      <c r="B863" t="str">
        <f t="shared" si="271"/>
        <v>24</v>
      </c>
      <c r="C863" s="1">
        <v>45285</v>
      </c>
      <c r="D863" t="str">
        <f>CLEAN("6999-11-86")</f>
        <v>6999-11-86</v>
      </c>
      <c r="E863" t="str">
        <f>CLEAN("206  ")</f>
        <v xml:space="preserve">206  </v>
      </c>
      <c r="F863" t="str">
        <f>CLEAN("$500,000 - $749,999      ")</f>
        <v xml:space="preserve">$500,000 - $749,999      </v>
      </c>
      <c r="G863" t="str">
        <f>CLEAN("MIS")</f>
        <v>MIS</v>
      </c>
      <c r="H863" t="str">
        <f>CLEAN("NONLET CONSTR/REAL ESTATE")</f>
        <v>NONLET CONSTR/REAL ESTATE</v>
      </c>
      <c r="I863" t="str">
        <f>CLEAN("CONST/CRP/MISC                     ")</f>
        <v xml:space="preserve">CONST/CRP/MISC                     </v>
      </c>
      <c r="J863" t="str">
        <f>CLEAN("LOC STR")</f>
        <v>LOC STR</v>
      </c>
      <c r="K863" t="str">
        <f>CLEAN("WOOD                          ")</f>
        <v xml:space="preserve">WOOD                          </v>
      </c>
      <c r="L863" t="str">
        <f>CLEAN("WI RAPIDS RAIL XING OPTIMIZATION   ")</f>
        <v xml:space="preserve">WI RAPIDS RAIL XING OPTIMIZATION   </v>
      </c>
      <c r="M863" t="str">
        <f>CLEAN("VARIOUS STREET LOCATIONS           ")</f>
        <v xml:space="preserve">VARIOUS STREET LOCATIONS           </v>
      </c>
      <c r="N863">
        <v>0</v>
      </c>
      <c r="O863" t="str">
        <f t="shared" si="270"/>
        <v xml:space="preserve">          </v>
      </c>
      <c r="P863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864" spans="1:16" x14ac:dyDescent="0.25">
      <c r="A864" t="str">
        <f t="shared" si="258"/>
        <v>10</v>
      </c>
      <c r="B864" t="str">
        <f t="shared" si="271"/>
        <v>24</v>
      </c>
      <c r="C864" s="1">
        <v>45335</v>
      </c>
      <c r="D864" t="str">
        <f>CLEAN("6999-16-73")</f>
        <v>6999-16-73</v>
      </c>
      <c r="E864" t="str">
        <f>CLEAN("206  ")</f>
        <v xml:space="preserve">206  </v>
      </c>
      <c r="F864" t="str">
        <f>CLEAN("$1,000,000 - $1,999,999  ")</f>
        <v xml:space="preserve">$1,000,000 - $1,999,999  </v>
      </c>
      <c r="G864" t="str">
        <f>CLEAN("LET")</f>
        <v>LET</v>
      </c>
      <c r="H864" t="str">
        <f>CLEAN("LET CONSTRUCTION         ")</f>
        <v xml:space="preserve">LET CONSTRUCTION         </v>
      </c>
      <c r="I864" t="str">
        <f>CLEAN("CONST/PVRPLA                       ")</f>
        <v xml:space="preserve">CONST/PVRPLA                       </v>
      </c>
      <c r="J864" t="str">
        <f>CLEAN("LOC STR")</f>
        <v>LOC STR</v>
      </c>
      <c r="K864" t="str">
        <f>CLEAN("MARATHON                      ")</f>
        <v xml:space="preserve">MARATHON                      </v>
      </c>
      <c r="L864" t="str">
        <f>CLEAN("C MOSINEE, MAIN STREET             ")</f>
        <v xml:space="preserve">C MOSINEE, MAIN STREET             </v>
      </c>
      <c r="M864" t="str">
        <f>CLEAN("4TH STREET TO RANGELINE ROAD       ")</f>
        <v xml:space="preserve">4TH STREET TO RANGELINE ROAD       </v>
      </c>
      <c r="N864">
        <v>1.3160000000000001</v>
      </c>
      <c r="O864" t="str">
        <f t="shared" si="270"/>
        <v xml:space="preserve">          </v>
      </c>
      <c r="P864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865" spans="1:16" x14ac:dyDescent="0.25">
      <c r="A865" t="str">
        <f t="shared" si="258"/>
        <v>10</v>
      </c>
      <c r="B865" t="str">
        <f t="shared" si="271"/>
        <v>24</v>
      </c>
      <c r="C865" s="1">
        <v>45285</v>
      </c>
      <c r="D865" t="str">
        <f>CLEAN("6999-16-84")</f>
        <v>6999-16-84</v>
      </c>
      <c r="E865" t="str">
        <f>CLEAN("206  ")</f>
        <v xml:space="preserve">206  </v>
      </c>
      <c r="F865" t="str">
        <f>CLEAN("$0 - $99,999             ")</f>
        <v xml:space="preserve">$0 - $99,999             </v>
      </c>
      <c r="G865" t="str">
        <f>CLEAN("MIS")</f>
        <v>MIS</v>
      </c>
      <c r="H865" t="str">
        <f>CLEAN("NONLET CONSTR/REAL ESTATE")</f>
        <v>NONLET CONSTR/REAL ESTATE</v>
      </c>
      <c r="I865" t="str">
        <f>CLEAN("CONST/CRP/MISC                     ")</f>
        <v xml:space="preserve">CONST/CRP/MISC                     </v>
      </c>
      <c r="J865" t="str">
        <f>CLEAN("LOC STR")</f>
        <v>LOC STR</v>
      </c>
      <c r="K865" t="str">
        <f>CLEAN("MARATHON                      ")</f>
        <v xml:space="preserve">MARATHON                      </v>
      </c>
      <c r="L865" t="str">
        <f>CLEAN("MOSINEE LED STREETLIGHT CONVERSION ")</f>
        <v xml:space="preserve">MOSINEE LED STREETLIGHT CONVERSION </v>
      </c>
      <c r="M865" t="str">
        <f>CLEAN("VARIOUS STREET LOCATIONS           ")</f>
        <v xml:space="preserve">VARIOUS STREET LOCATIONS           </v>
      </c>
      <c r="N865">
        <v>0</v>
      </c>
      <c r="O865" t="str">
        <f t="shared" si="270"/>
        <v xml:space="preserve">          </v>
      </c>
      <c r="P865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866" spans="1:16" x14ac:dyDescent="0.25">
      <c r="A866" t="str">
        <f t="shared" si="258"/>
        <v>10</v>
      </c>
      <c r="B866" t="str">
        <f t="shared" si="271"/>
        <v>24</v>
      </c>
      <c r="C866" s="1">
        <v>45285</v>
      </c>
      <c r="D866" t="str">
        <f>CLEAN("6999-18-84")</f>
        <v>6999-18-84</v>
      </c>
      <c r="E866" t="str">
        <f>CLEAN("206  ")</f>
        <v xml:space="preserve">206  </v>
      </c>
      <c r="F866" t="str">
        <f>CLEAN("$100,000-$249,999        ")</f>
        <v xml:space="preserve">$100,000-$249,999        </v>
      </c>
      <c r="G866" t="str">
        <f>CLEAN("MIS")</f>
        <v>MIS</v>
      </c>
      <c r="H866" t="str">
        <f>CLEAN("NONLET CONSTR/REAL ESTATE")</f>
        <v>NONLET CONSTR/REAL ESTATE</v>
      </c>
      <c r="I866" t="str">
        <f>CLEAN("CONST/CRP/MISC                     ")</f>
        <v xml:space="preserve">CONST/CRP/MISC                     </v>
      </c>
      <c r="J866" t="str">
        <f>CLEAN("LOC STR")</f>
        <v>LOC STR</v>
      </c>
      <c r="K866" t="str">
        <f>CLEAN("MARATHON                      ")</f>
        <v xml:space="preserve">MARATHON                      </v>
      </c>
      <c r="L866" t="str">
        <f>CLEAN("WAUSAU LED STREETLIGHT CONVERSION  ")</f>
        <v xml:space="preserve">WAUSAU LED STREETLIGHT CONVERSION  </v>
      </c>
      <c r="M866" t="str">
        <f>CLEAN("VARIOUS STREET LOCATIONS           ")</f>
        <v xml:space="preserve">VARIOUS STREET LOCATIONS           </v>
      </c>
      <c r="N866">
        <v>0</v>
      </c>
      <c r="O866" t="str">
        <f t="shared" si="270"/>
        <v xml:space="preserve">          </v>
      </c>
      <c r="P866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867" spans="1:16" x14ac:dyDescent="0.25">
      <c r="A867" t="str">
        <f t="shared" si="258"/>
        <v>10</v>
      </c>
      <c r="B867" t="str">
        <f>CLEAN("25")</f>
        <v>25</v>
      </c>
      <c r="C867" s="1">
        <v>45636</v>
      </c>
      <c r="D867" t="str">
        <f>CLEAN("7026-00-71")</f>
        <v>7026-00-71</v>
      </c>
      <c r="E867" t="str">
        <f>CLEAN("206  ")</f>
        <v xml:space="preserve">206  </v>
      </c>
      <c r="F867" t="str">
        <f>CLEAN("$3,000,000 - $3,999,999  ")</f>
        <v xml:space="preserve">$3,000,000 - $3,999,999  </v>
      </c>
      <c r="G867" t="str">
        <f>CLEAN("LET")</f>
        <v>LET</v>
      </c>
      <c r="H867" t="str">
        <f>CLEAN("LET CONSTRUCTION         ")</f>
        <v xml:space="preserve">LET CONSTRUCTION         </v>
      </c>
      <c r="I867" t="str">
        <f>CLEAN("CONSTRUCTION/PVRPLA                ")</f>
        <v xml:space="preserve">CONSTRUCTION/PVRPLA                </v>
      </c>
      <c r="J867" t="str">
        <f>CLEAN("CTH N  ")</f>
        <v xml:space="preserve">CTH N  </v>
      </c>
      <c r="K867" t="str">
        <f>CLEAN("JACKSON                       ")</f>
        <v xml:space="preserve">JACKSON                       </v>
      </c>
      <c r="L867" t="str">
        <f>CLEAN("STH 54 - TAYLOR                    ")</f>
        <v xml:space="preserve">STH 54 - TAYLOR                    </v>
      </c>
      <c r="M867" t="str">
        <f>CLEAN("CTH C TO RABBIT RUN ROAD           ")</f>
        <v xml:space="preserve">CTH C TO RABBIT RUN ROAD           </v>
      </c>
      <c r="N867">
        <v>5.37</v>
      </c>
      <c r="O867" t="str">
        <f t="shared" si="270"/>
        <v xml:space="preserve">          </v>
      </c>
      <c r="P867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68" spans="1:16" x14ac:dyDescent="0.25">
      <c r="A868" t="str">
        <f t="shared" si="258"/>
        <v>10</v>
      </c>
      <c r="B868" t="str">
        <f>CLEAN("25")</f>
        <v>25</v>
      </c>
      <c r="C868" s="1">
        <v>45636</v>
      </c>
      <c r="D868" t="str">
        <f>CLEAN("7027-00-72")</f>
        <v>7027-00-72</v>
      </c>
      <c r="E868" t="str">
        <f>CLEAN("205  ")</f>
        <v xml:space="preserve">205  </v>
      </c>
      <c r="F868" t="str">
        <f>CLEAN("$250,000 - $499,999      ")</f>
        <v xml:space="preserve">$250,000 - $499,999      </v>
      </c>
      <c r="G868" t="str">
        <f>CLEAN("LET")</f>
        <v>LET</v>
      </c>
      <c r="H868" t="str">
        <f>CLEAN("LET CONSTRUCTION         ")</f>
        <v xml:space="preserve">LET CONSTRUCTION         </v>
      </c>
      <c r="I868" t="str">
        <f>CLEAN("CONSTRUCTION/BRIDGE REPLACEMENT    ")</f>
        <v xml:space="preserve">CONSTRUCTION/BRIDGE REPLACEMENT    </v>
      </c>
      <c r="J868" t="str">
        <f>CLEAN("CTH O  ")</f>
        <v xml:space="preserve">CTH O  </v>
      </c>
      <c r="K868" t="str">
        <f>CLEAN("JACKSON                       ")</f>
        <v xml:space="preserve">JACKSON                       </v>
      </c>
      <c r="L868" t="str">
        <f>CLEAN("STH 27 - MILLSTON                  ")</f>
        <v xml:space="preserve">STH 27 - MILLSTON                  </v>
      </c>
      <c r="M868" t="str">
        <f>CLEAN("CLEAR CREEK BRIDGE B-27-0179       ")</f>
        <v xml:space="preserve">CLEAR CREEK BRIDGE B-27-0179       </v>
      </c>
      <c r="N868">
        <v>0</v>
      </c>
      <c r="O868" t="str">
        <f t="shared" si="270"/>
        <v xml:space="preserve">          </v>
      </c>
      <c r="P86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69" spans="1:16" x14ac:dyDescent="0.25">
      <c r="A869" t="str">
        <f t="shared" si="258"/>
        <v>10</v>
      </c>
      <c r="B869" t="str">
        <f>CLEAN("25")</f>
        <v>25</v>
      </c>
      <c r="C869" s="1">
        <v>45621</v>
      </c>
      <c r="D869" t="str">
        <f>CLEAN("7030-00-22")</f>
        <v>7030-00-22</v>
      </c>
      <c r="E869" t="str">
        <f>CLEAN("303  ")</f>
        <v xml:space="preserve">303  </v>
      </c>
      <c r="F869" t="str">
        <f>CLEAN("$0 - $99,999             ")</f>
        <v xml:space="preserve">$0 - $99,999             </v>
      </c>
      <c r="G869" t="str">
        <f>CLEAN("R/E")</f>
        <v>R/E</v>
      </c>
      <c r="H869" t="str">
        <f>CLEAN("NONLET CONSTR/REAL ESTATE")</f>
        <v>NONLET CONSTR/REAL ESTATE</v>
      </c>
      <c r="I869" t="str">
        <f>CLEAN("REAL ESTATE ACQUISITION            ")</f>
        <v xml:space="preserve">REAL ESTATE ACQUISITION            </v>
      </c>
      <c r="J869" t="str">
        <f>CLEAN("USH 010")</f>
        <v>USH 010</v>
      </c>
      <c r="K869" t="str">
        <f>CLEAN("CLARK                         ")</f>
        <v xml:space="preserve">CLARK                         </v>
      </c>
      <c r="L869" t="str">
        <f>CLEAN("NEILLSVILLE - MARSHFIELD           ")</f>
        <v xml:space="preserve">NEILLSVILLE - MARSHFIELD           </v>
      </c>
      <c r="M869" t="str">
        <f>CLEAN("STH 73 TO EAST COUNTY LINE         ")</f>
        <v xml:space="preserve">STH 73 TO EAST COUNTY LINE         </v>
      </c>
      <c r="N869">
        <v>16.32</v>
      </c>
      <c r="O869" t="str">
        <f t="shared" si="270"/>
        <v xml:space="preserve">          </v>
      </c>
      <c r="P86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0" spans="1:16" x14ac:dyDescent="0.25">
      <c r="A870" t="str">
        <f t="shared" si="258"/>
        <v>10</v>
      </c>
      <c r="B870" t="str">
        <f>CLEAN("25")</f>
        <v>25</v>
      </c>
      <c r="C870" s="1">
        <v>45621</v>
      </c>
      <c r="D870" t="str">
        <f>CLEAN("7040-00-23")</f>
        <v>7040-00-23</v>
      </c>
      <c r="E870" t="str">
        <f>CLEAN("303  ")</f>
        <v xml:space="preserve">303  </v>
      </c>
      <c r="F870" t="str">
        <f>CLEAN("$0 - $99,999             ")</f>
        <v xml:space="preserve">$0 - $99,999             </v>
      </c>
      <c r="G870" t="str">
        <f>CLEAN("R/E")</f>
        <v>R/E</v>
      </c>
      <c r="H870" t="str">
        <f>CLEAN("NONLET CONSTR/REAL ESTATE")</f>
        <v>NONLET CONSTR/REAL ESTATE</v>
      </c>
      <c r="I870" t="str">
        <f>CLEAN("REAL ESTATE ACQUISITION            ")</f>
        <v xml:space="preserve">REAL ESTATE ACQUISITION            </v>
      </c>
      <c r="J870" t="str">
        <f>CLEAN("STH 098")</f>
        <v>STH 098</v>
      </c>
      <c r="K870" t="str">
        <f>CLEAN("CLARK                         ")</f>
        <v xml:space="preserve">CLARK                         </v>
      </c>
      <c r="L870" t="str">
        <f>CLEAN("GREENWOOD - SPENCER                ")</f>
        <v xml:space="preserve">GREENWOOD - SPENCER                </v>
      </c>
      <c r="M870" t="str">
        <f>CLEAN("BEAR CREEK BRIDGE B-10-0053        ")</f>
        <v xml:space="preserve">BEAR CREEK BRIDGE B-10-0053        </v>
      </c>
      <c r="N870">
        <v>0</v>
      </c>
      <c r="O870" t="str">
        <f t="shared" si="270"/>
        <v xml:space="preserve">          </v>
      </c>
      <c r="P87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71" spans="1:16" x14ac:dyDescent="0.25">
      <c r="A871" t="str">
        <f t="shared" si="258"/>
        <v>10</v>
      </c>
      <c r="B871" t="str">
        <f>CLEAN("24")</f>
        <v>24</v>
      </c>
      <c r="C871" s="1">
        <v>45468</v>
      </c>
      <c r="D871" t="str">
        <f>CLEAN("7040-05-50")</f>
        <v>7040-05-50</v>
      </c>
      <c r="E871" t="str">
        <f>CLEAN("207  ")</f>
        <v xml:space="preserve">207  </v>
      </c>
      <c r="F871" t="str">
        <f>CLEAN("$100,000-$249,999        ")</f>
        <v xml:space="preserve">$100,000-$249,999        </v>
      </c>
      <c r="G871" t="str">
        <f>CLEAN("R/R")</f>
        <v>R/R</v>
      </c>
      <c r="H871" t="str">
        <f>CLEAN("NONLET CONSTR/REAL ESTATE")</f>
        <v>NONLET CONSTR/REAL ESTATE</v>
      </c>
      <c r="I871" t="str">
        <f>CLEAN("XING REPAIR 689933J MILE POST 289.8")</f>
        <v>XING REPAIR 689933J MILE POST 289.8</v>
      </c>
      <c r="J871" t="str">
        <f>CLEAN("STH 098")</f>
        <v>STH 098</v>
      </c>
      <c r="K871" t="str">
        <f>CLEAN("MARATHON                      ")</f>
        <v xml:space="preserve">MARATHON                      </v>
      </c>
      <c r="L871" t="str">
        <f>CLEAN("VILLAGE OF SPENCER, STH 98 WEST    ")</f>
        <v xml:space="preserve">VILLAGE OF SPENCER, STH 98 WEST    </v>
      </c>
      <c r="M871" t="str">
        <f>CLEAN("RAIL-HWY CROSSING REPAIR           ")</f>
        <v xml:space="preserve">RAIL-HWY CROSSING REPAIR           </v>
      </c>
      <c r="N871">
        <v>0</v>
      </c>
      <c r="O871" t="str">
        <f t="shared" si="270"/>
        <v xml:space="preserve">          </v>
      </c>
      <c r="P871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872" spans="1:16" x14ac:dyDescent="0.25">
      <c r="A872" t="str">
        <f t="shared" si="258"/>
        <v>10</v>
      </c>
      <c r="B872" t="str">
        <f>CLEAN("21")</f>
        <v>21</v>
      </c>
      <c r="C872" s="1">
        <v>45363</v>
      </c>
      <c r="D872" t="str">
        <f>CLEAN("7049-00-70")</f>
        <v>7049-00-70</v>
      </c>
      <c r="E872" t="str">
        <f>CLEAN("205  ")</f>
        <v xml:space="preserve">205  </v>
      </c>
      <c r="F872" t="str">
        <f>CLEAN("$750,000 - $999,999      ")</f>
        <v xml:space="preserve">$750,000 - $999,999      </v>
      </c>
      <c r="G872" t="str">
        <f>CLEAN("LET")</f>
        <v>LET</v>
      </c>
      <c r="H872" t="str">
        <f>CLEAN("LET CONSTRUCTION         ")</f>
        <v xml:space="preserve">LET CONSTRUCTION         </v>
      </c>
      <c r="I872" t="str">
        <f>CLEAN("CONST/BRIDGE REPLACEMENT           ")</f>
        <v xml:space="preserve">CONST/BRIDGE REPLACEMENT           </v>
      </c>
      <c r="J872" t="str">
        <f>CLEAN("CTH D  ")</f>
        <v xml:space="preserve">CTH D  </v>
      </c>
      <c r="K872" t="str">
        <f>CLEAN("LA CROSSE                     ")</f>
        <v xml:space="preserve">LA CROSSE                     </v>
      </c>
      <c r="L872" t="str">
        <f>CLEAN("T OF ONALASKA - T OF FARMINGTON    ")</f>
        <v xml:space="preserve">T OF ONALASKA - T OF FARMINGTON    </v>
      </c>
      <c r="M872" t="str">
        <f>CLEAN("HALFWAY CREEK BRIDGE, B-32-0240    ")</f>
        <v xml:space="preserve">HALFWAY CREEK BRIDGE, B-32-0240    </v>
      </c>
      <c r="N872">
        <v>0.105</v>
      </c>
      <c r="O872" t="str">
        <f t="shared" si="270"/>
        <v xml:space="preserve">          </v>
      </c>
      <c r="P87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73" spans="1:16" x14ac:dyDescent="0.25">
      <c r="A873" t="str">
        <f t="shared" si="258"/>
        <v>10</v>
      </c>
      <c r="B873" t="str">
        <f t="shared" ref="B873:B883" si="272">CLEAN("25")</f>
        <v>25</v>
      </c>
      <c r="C873" s="1">
        <v>45316</v>
      </c>
      <c r="D873" t="str">
        <f>CLEAN("7050-00-22")</f>
        <v>7050-00-22</v>
      </c>
      <c r="E873" t="str">
        <f t="shared" ref="E873:E880" si="273">CLEAN("303  ")</f>
        <v xml:space="preserve">303  </v>
      </c>
      <c r="F873" t="str">
        <f>CLEAN("$0 - $99,999             ")</f>
        <v xml:space="preserve">$0 - $99,999             </v>
      </c>
      <c r="G873" t="str">
        <f>CLEAN("R/E")</f>
        <v>R/E</v>
      </c>
      <c r="H873" t="str">
        <f>CLEAN("NONLET CONSTR/REAL ESTATE")</f>
        <v>NONLET CONSTR/REAL ESTATE</v>
      </c>
      <c r="I873" t="str">
        <f>CLEAN("REAL ESTATE ACQUISITION            ")</f>
        <v xml:space="preserve">REAL ESTATE ACQUISITION            </v>
      </c>
      <c r="J873" t="str">
        <f>CLEAN("STH 073")</f>
        <v>STH 073</v>
      </c>
      <c r="K873" t="str">
        <f>CLEAN("CLARK                         ")</f>
        <v xml:space="preserve">CLARK                         </v>
      </c>
      <c r="L873" t="str">
        <f>CLEAN("NEILLSVILLE - THORP                ")</f>
        <v xml:space="preserve">NEILLSVILLE - THORP                </v>
      </c>
      <c r="M873" t="str">
        <f>CLEAN("HUNT STREET TO STH 29 E            ")</f>
        <v xml:space="preserve">HUNT STREET TO STH 29 E            </v>
      </c>
      <c r="N873">
        <v>12.59</v>
      </c>
      <c r="O873" t="str">
        <f t="shared" si="270"/>
        <v xml:space="preserve">          </v>
      </c>
      <c r="P8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4" spans="1:16" x14ac:dyDescent="0.25">
      <c r="A874" t="str">
        <f t="shared" si="258"/>
        <v>10</v>
      </c>
      <c r="B874" t="str">
        <f t="shared" si="272"/>
        <v>25</v>
      </c>
      <c r="C874" s="1">
        <v>45316</v>
      </c>
      <c r="D874" t="str">
        <f>CLEAN("7050-00-23")</f>
        <v>7050-00-23</v>
      </c>
      <c r="E874" t="str">
        <f t="shared" si="273"/>
        <v xml:space="preserve">303  </v>
      </c>
      <c r="F874" t="str">
        <f>CLEAN("$0 - $99,999             ")</f>
        <v xml:space="preserve">$0 - $99,999             </v>
      </c>
      <c r="G874" t="str">
        <f>CLEAN("R/E")</f>
        <v>R/E</v>
      </c>
      <c r="H874" t="str">
        <f>CLEAN("NONLET CONSTR/REAL ESTATE")</f>
        <v>NONLET CONSTR/REAL ESTATE</v>
      </c>
      <c r="I874" t="str">
        <f>CLEAN("REAL ESTATE ACQUISITION            ")</f>
        <v xml:space="preserve">REAL ESTATE ACQUISITION            </v>
      </c>
      <c r="J874" t="str">
        <f>CLEAN("STH 073")</f>
        <v>STH 073</v>
      </c>
      <c r="K874" t="str">
        <f>CLEAN("CLARK                         ")</f>
        <v xml:space="preserve">CLARK                         </v>
      </c>
      <c r="L874" t="str">
        <f>CLEAN("NEILLSVILLE - THORP                ")</f>
        <v xml:space="preserve">NEILLSVILLE - THORP                </v>
      </c>
      <c r="M874" t="str">
        <f>CLEAN("ROCK CREEK BRIDGE TO HUNT STREET   ")</f>
        <v xml:space="preserve">ROCK CREEK BRIDGE TO HUNT STREET   </v>
      </c>
      <c r="N874">
        <v>12.59</v>
      </c>
      <c r="O874" t="str">
        <f t="shared" si="270"/>
        <v xml:space="preserve">          </v>
      </c>
      <c r="P87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5" spans="1:16" x14ac:dyDescent="0.25">
      <c r="A875" t="str">
        <f t="shared" si="258"/>
        <v>10</v>
      </c>
      <c r="B875" t="str">
        <f t="shared" si="272"/>
        <v>25</v>
      </c>
      <c r="C875" s="1">
        <v>45621</v>
      </c>
      <c r="D875" t="str">
        <f>CLEAN("7050-00-24")</f>
        <v>7050-00-24</v>
      </c>
      <c r="E875" t="str">
        <f t="shared" si="273"/>
        <v xml:space="preserve">303  </v>
      </c>
      <c r="F875" t="str">
        <f>CLEAN("$0 - $99,999             ")</f>
        <v xml:space="preserve">$0 - $99,999             </v>
      </c>
      <c r="G875" t="str">
        <f>CLEAN("R/E")</f>
        <v>R/E</v>
      </c>
      <c r="H875" t="str">
        <f>CLEAN("NONLET CONSTR/REAL ESTATE")</f>
        <v>NONLET CONSTR/REAL ESTATE</v>
      </c>
      <c r="I875" t="str">
        <f>CLEAN("REAL ESTATE ACQUISITION            ")</f>
        <v xml:space="preserve">REAL ESTATE ACQUISITION            </v>
      </c>
      <c r="J875" t="str">
        <f>CLEAN("STH 073")</f>
        <v>STH 073</v>
      </c>
      <c r="K875" t="str">
        <f>CLEAN("CLARK                         ")</f>
        <v xml:space="preserve">CLARK                         </v>
      </c>
      <c r="L875" t="str">
        <f>CLEAN("NEILLSVILLE - THORP                ")</f>
        <v xml:space="preserve">NEILLSVILLE - THORP                </v>
      </c>
      <c r="M875" t="str">
        <f>CLEAN("USH 10 E TO W 19TH ST              ")</f>
        <v xml:space="preserve">USH 10 E TO W 19TH ST              </v>
      </c>
      <c r="N875">
        <v>1.1910000000000001</v>
      </c>
      <c r="O875" t="str">
        <f t="shared" si="270"/>
        <v xml:space="preserve">          </v>
      </c>
      <c r="P87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6" spans="1:16" x14ac:dyDescent="0.25">
      <c r="A876" t="str">
        <f t="shared" si="258"/>
        <v>10</v>
      </c>
      <c r="B876" t="str">
        <f t="shared" si="272"/>
        <v>25</v>
      </c>
      <c r="C876" s="1">
        <v>45272</v>
      </c>
      <c r="D876" t="str">
        <f>CLEAN("7070-06-72")</f>
        <v>7070-06-72</v>
      </c>
      <c r="E876" t="str">
        <f t="shared" si="273"/>
        <v xml:space="preserve">303  </v>
      </c>
      <c r="F876" t="str">
        <f>CLEAN("$3,000,000 - $3,999,999  ")</f>
        <v xml:space="preserve">$3,000,000 - $3,999,999  </v>
      </c>
      <c r="G876" t="str">
        <f>CLEAN("LET")</f>
        <v>LET</v>
      </c>
      <c r="H876" t="str">
        <f>CLEAN("LET CONSTRUCTION         ")</f>
        <v xml:space="preserve">LET CONSTRUCTION         </v>
      </c>
      <c r="I876" t="str">
        <f>CLEAN("CONSTRUCTION/CIR/RESURFACE         ")</f>
        <v xml:space="preserve">CONSTRUCTION/CIR/RESURFACE         </v>
      </c>
      <c r="J876" t="str">
        <f>CLEAN("STH 027")</f>
        <v>STH 027</v>
      </c>
      <c r="K876" t="str">
        <f>CLEAN("CHIPPEWA                      ")</f>
        <v xml:space="preserve">CHIPPEWA                      </v>
      </c>
      <c r="L876" t="str">
        <f>CLEAN("AUGUSTA - CADOTT                   ")</f>
        <v xml:space="preserve">AUGUSTA - CADOTT                   </v>
      </c>
      <c r="M876" t="str">
        <f>CLEAN("EAU CLAIRE/CHIPPEWA CO LN TO STH 29")</f>
        <v>EAU CLAIRE/CHIPPEWA CO LN TO STH 29</v>
      </c>
      <c r="N876">
        <v>5.2519999999999998</v>
      </c>
      <c r="O876" t="str">
        <f t="shared" si="270"/>
        <v xml:space="preserve">          </v>
      </c>
      <c r="P87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7" spans="1:16" x14ac:dyDescent="0.25">
      <c r="A877" t="str">
        <f t="shared" si="258"/>
        <v>10</v>
      </c>
      <c r="B877" t="str">
        <f t="shared" si="272"/>
        <v>25</v>
      </c>
      <c r="C877" s="1">
        <v>45636</v>
      </c>
      <c r="D877" t="str">
        <f>CLEAN("7080-01-73")</f>
        <v>7080-01-73</v>
      </c>
      <c r="E877" t="str">
        <f t="shared" si="273"/>
        <v xml:space="preserve">303  </v>
      </c>
      <c r="F877" t="str">
        <f>CLEAN("$4,000,000 - $4,999,999  ")</f>
        <v xml:space="preserve">$4,000,000 - $4,999,999  </v>
      </c>
      <c r="G877" t="str">
        <f>CLEAN("LET")</f>
        <v>LET</v>
      </c>
      <c r="H877" t="str">
        <f>CLEAN("LET CONSTRUCTION         ")</f>
        <v xml:space="preserve">LET CONSTRUCTION         </v>
      </c>
      <c r="I877" t="str">
        <f>CLEAN("CONSTRUCTION/RESURFACE             ")</f>
        <v xml:space="preserve">CONSTRUCTION/RESURFACE             </v>
      </c>
      <c r="J877" t="str">
        <f>CLEAN("USH 012")</f>
        <v>USH 012</v>
      </c>
      <c r="K877" t="str">
        <f>CLEAN("EAU CLAIRE                    ")</f>
        <v xml:space="preserve">EAU CLAIRE                    </v>
      </c>
      <c r="L877" t="str">
        <f>CLEAN("EAU CLAIRE - FAIRCHILD             ")</f>
        <v xml:space="preserve">EAU CLAIRE - FAIRCHILD             </v>
      </c>
      <c r="M877" t="str">
        <f>CLEAN("INDUSTRIAL DR TO FALL CREEK UNDER  ")</f>
        <v xml:space="preserve">INDUSTRIAL DR TO FALL CREEK UNDER  </v>
      </c>
      <c r="N877">
        <v>6.835</v>
      </c>
      <c r="O877" t="str">
        <f t="shared" si="270"/>
        <v xml:space="preserve">          </v>
      </c>
      <c r="P87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78" spans="1:16" x14ac:dyDescent="0.25">
      <c r="A878" t="str">
        <f t="shared" si="258"/>
        <v>10</v>
      </c>
      <c r="B878" t="str">
        <f t="shared" si="272"/>
        <v>25</v>
      </c>
      <c r="C878" s="1">
        <v>45636</v>
      </c>
      <c r="D878" t="str">
        <f>CLEAN("7080-01-73")</f>
        <v>7080-01-73</v>
      </c>
      <c r="E878" t="str">
        <f t="shared" si="273"/>
        <v xml:space="preserve">303  </v>
      </c>
      <c r="F878" t="str">
        <f>CLEAN("$4,000,000 - $4,999,999  ")</f>
        <v xml:space="preserve">$4,000,000 - $4,999,999  </v>
      </c>
      <c r="G878" t="str">
        <f>CLEAN("LET")</f>
        <v>LET</v>
      </c>
      <c r="H878" t="str">
        <f>CLEAN("LET CONSTRUCTION         ")</f>
        <v xml:space="preserve">LET CONSTRUCTION         </v>
      </c>
      <c r="I878" t="str">
        <f>CLEAN("CONSTRUCTION/RESURFACE             ")</f>
        <v xml:space="preserve">CONSTRUCTION/RESURFACE             </v>
      </c>
      <c r="J878" t="str">
        <f>CLEAN("USH 012")</f>
        <v>USH 012</v>
      </c>
      <c r="K878" t="str">
        <f>CLEAN("EAU CLAIRE                    ")</f>
        <v xml:space="preserve">EAU CLAIRE                    </v>
      </c>
      <c r="L878" t="str">
        <f>CLEAN("EAU CLAIRE - FAIRCHILD             ")</f>
        <v xml:space="preserve">EAU CLAIRE - FAIRCHILD             </v>
      </c>
      <c r="M878" t="str">
        <f>CLEAN("INDUSTRIAL DR TO FALL CREEK UNDER  ")</f>
        <v xml:space="preserve">INDUSTRIAL DR TO FALL CREEK UNDER  </v>
      </c>
      <c r="N878">
        <v>6.835</v>
      </c>
      <c r="O878" t="str">
        <f t="shared" si="270"/>
        <v xml:space="preserve">          </v>
      </c>
      <c r="P8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9" spans="1:16" x14ac:dyDescent="0.25">
      <c r="A879" t="str">
        <f t="shared" si="258"/>
        <v>10</v>
      </c>
      <c r="B879" t="str">
        <f t="shared" si="272"/>
        <v>25</v>
      </c>
      <c r="C879" s="1">
        <v>45437</v>
      </c>
      <c r="D879" t="str">
        <f>CLEAN("7120-00-26")</f>
        <v>7120-00-26</v>
      </c>
      <c r="E879" t="str">
        <f t="shared" si="273"/>
        <v xml:space="preserve">303  </v>
      </c>
      <c r="F879" t="str">
        <f>CLEAN("$0 - $99,999             ")</f>
        <v xml:space="preserve">$0 - $99,999             </v>
      </c>
      <c r="G879" t="str">
        <f>CLEAN("R/E")</f>
        <v>R/E</v>
      </c>
      <c r="H879" t="str">
        <f>CLEAN("NONLET CONSTR/REAL ESTATE")</f>
        <v>NONLET CONSTR/REAL ESTATE</v>
      </c>
      <c r="I879" t="str">
        <f>CLEAN("REAL ESTATE ACQUISITION            ")</f>
        <v xml:space="preserve">REAL ESTATE ACQUISITION            </v>
      </c>
      <c r="J879" t="str">
        <f>CLEAN("STH 085")</f>
        <v>STH 085</v>
      </c>
      <c r="K879" t="str">
        <f>CLEAN("DUNN                          ")</f>
        <v xml:space="preserve">DUNN                          </v>
      </c>
      <c r="L879" t="str">
        <f>CLEAN("DURAND - EAU CLAIRE                ")</f>
        <v xml:space="preserve">DURAND - EAU CLAIRE                </v>
      </c>
      <c r="M879" t="str">
        <f>CLEAN("BR CHIPPEWA RIVER BRIDGE B-17-0370 ")</f>
        <v xml:space="preserve">BR CHIPPEWA RIVER BRIDGE B-17-0370 </v>
      </c>
      <c r="N879">
        <v>0</v>
      </c>
      <c r="O879" t="str">
        <f t="shared" si="270"/>
        <v xml:space="preserve">          </v>
      </c>
      <c r="P87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80" spans="1:16" x14ac:dyDescent="0.25">
      <c r="A880" t="str">
        <f t="shared" si="258"/>
        <v>10</v>
      </c>
      <c r="B880" t="str">
        <f t="shared" si="272"/>
        <v>25</v>
      </c>
      <c r="C880" s="1">
        <v>45316</v>
      </c>
      <c r="D880" t="str">
        <f>CLEAN("7125-00-20")</f>
        <v>7125-00-20</v>
      </c>
      <c r="E880" t="str">
        <f t="shared" si="273"/>
        <v xml:space="preserve">303  </v>
      </c>
      <c r="F880" t="str">
        <f>CLEAN("$100,000-$249,999        ")</f>
        <v xml:space="preserve">$100,000-$249,999        </v>
      </c>
      <c r="G880" t="str">
        <f>CLEAN("R/E")</f>
        <v>R/E</v>
      </c>
      <c r="H880" t="str">
        <f>CLEAN("NONLET CONSTR/REAL ESTATE")</f>
        <v>NONLET CONSTR/REAL ESTATE</v>
      </c>
      <c r="I880" t="str">
        <f>CLEAN("REAL ESTATE ACQUISITION            ")</f>
        <v xml:space="preserve">REAL ESTATE ACQUISITION            </v>
      </c>
      <c r="J880" t="str">
        <f>CLEAN("STH 037")</f>
        <v>STH 037</v>
      </c>
      <c r="K880" t="str">
        <f>CLEAN("BUFFALO                       ")</f>
        <v xml:space="preserve">BUFFALO                       </v>
      </c>
      <c r="L880" t="str">
        <f>CLEAN("ALMA - MONDOVI                     ")</f>
        <v xml:space="preserve">ALMA - MONDOVI                     </v>
      </c>
      <c r="M880" t="str">
        <f>CLEAN("STH 88 TO USH 10                   ")</f>
        <v xml:space="preserve">STH 88 TO USH 10                   </v>
      </c>
      <c r="N880">
        <v>3.47</v>
      </c>
      <c r="O880" t="str">
        <f t="shared" si="270"/>
        <v xml:space="preserve">          </v>
      </c>
      <c r="P88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81" spans="1:16" x14ac:dyDescent="0.25">
      <c r="A881" t="str">
        <f t="shared" si="258"/>
        <v>10</v>
      </c>
      <c r="B881" t="str">
        <f t="shared" si="272"/>
        <v>25</v>
      </c>
      <c r="C881" s="1">
        <v>45468</v>
      </c>
      <c r="D881" t="str">
        <f>CLEAN("7130-01-51")</f>
        <v>7130-01-51</v>
      </c>
      <c r="E881" t="str">
        <f>CLEAN("207  ")</f>
        <v xml:space="preserve">207  </v>
      </c>
      <c r="F881" t="str">
        <f>CLEAN("$100,000-$249,999        ")</f>
        <v xml:space="preserve">$100,000-$249,999        </v>
      </c>
      <c r="G881" t="str">
        <f>CLEAN("R/R")</f>
        <v>R/R</v>
      </c>
      <c r="H881" t="str">
        <f>CLEAN("NONLET CONSTR/REAL ESTATE")</f>
        <v>NONLET CONSTR/REAL ESTATE</v>
      </c>
      <c r="I881" t="str">
        <f>CLEAN("RR OPS/RAIL-HIGHWAY CROSSING REPAIR")</f>
        <v>RR OPS/RAIL-HIGHWAY CROSSING REPAIR</v>
      </c>
      <c r="J881" t="str">
        <f>CLEAN("STH 093")</f>
        <v>STH 093</v>
      </c>
      <c r="K881" t="str">
        <f>CLEAN("TREMPEALEAU                   ")</f>
        <v xml:space="preserve">TREMPEALEAU                   </v>
      </c>
      <c r="L881" t="str">
        <f>CLEAN("CENTERVILLE - INDEPENDENCE         ")</f>
        <v xml:space="preserve">CENTERVILLE - INDEPENDENCE         </v>
      </c>
      <c r="M881" t="str">
        <f>CLEAN("WI CENTRAL LTD RR XING 281848M     ")</f>
        <v xml:space="preserve">WI CENTRAL LTD RR XING 281848M     </v>
      </c>
      <c r="N881">
        <v>0</v>
      </c>
      <c r="O881" t="str">
        <f t="shared" si="270"/>
        <v xml:space="preserve">          </v>
      </c>
      <c r="P881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882" spans="1:16" x14ac:dyDescent="0.25">
      <c r="A882" t="str">
        <f t="shared" si="258"/>
        <v>10</v>
      </c>
      <c r="B882" t="str">
        <f t="shared" si="272"/>
        <v>25</v>
      </c>
      <c r="C882" s="1">
        <v>45621</v>
      </c>
      <c r="D882" t="str">
        <f>CLEAN("7180-00-26")</f>
        <v>7180-00-26</v>
      </c>
      <c r="E882" t="str">
        <f>CLEAN("303  ")</f>
        <v xml:space="preserve">303  </v>
      </c>
      <c r="F882" t="str">
        <f>CLEAN("$0 - $99,999             ")</f>
        <v xml:space="preserve">$0 - $99,999             </v>
      </c>
      <c r="G882" t="str">
        <f>CLEAN("R/E")</f>
        <v>R/E</v>
      </c>
      <c r="H882" t="str">
        <f>CLEAN("NONLET CONSTR/REAL ESTATE")</f>
        <v>NONLET CONSTR/REAL ESTATE</v>
      </c>
      <c r="I882" t="str">
        <f>CLEAN("REAL ESTATE ACQUISITION            ")</f>
        <v xml:space="preserve">REAL ESTATE ACQUISITION            </v>
      </c>
      <c r="J882" t="str">
        <f>CLEAN("STH 035")</f>
        <v>STH 035</v>
      </c>
      <c r="K882" t="str">
        <f>CLEAN("PEPIN                         ")</f>
        <v xml:space="preserve">PEPIN                         </v>
      </c>
      <c r="L882" t="str">
        <f>CLEAN("PEPIN - HAGER CITY                 ")</f>
        <v xml:space="preserve">PEPIN - HAGER CITY                 </v>
      </c>
      <c r="M882" t="str">
        <f>CLEAN("DRAINAGE WAY CULVERT C-46-0006     ")</f>
        <v xml:space="preserve">DRAINAGE WAY CULVERT C-46-0006     </v>
      </c>
      <c r="N882">
        <v>2E-3</v>
      </c>
      <c r="O882" t="str">
        <f t="shared" si="270"/>
        <v xml:space="preserve">          </v>
      </c>
      <c r="P8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83" spans="1:16" x14ac:dyDescent="0.25">
      <c r="A883" t="str">
        <f t="shared" si="258"/>
        <v>10</v>
      </c>
      <c r="B883" t="str">
        <f t="shared" si="272"/>
        <v>25</v>
      </c>
      <c r="C883" s="1">
        <v>45545</v>
      </c>
      <c r="D883" t="str">
        <f>CLEAN("7180-00-77")</f>
        <v>7180-00-77</v>
      </c>
      <c r="E883" t="str">
        <f>CLEAN("303  ")</f>
        <v xml:space="preserve">303  </v>
      </c>
      <c r="F883" t="str">
        <f>CLEAN("$5,000,000 - $5,999,999  ")</f>
        <v xml:space="preserve">$5,000,000 - $5,999,999  </v>
      </c>
      <c r="G883" t="str">
        <f>CLEAN("LET")</f>
        <v>LET</v>
      </c>
      <c r="H883" t="str">
        <f>CLEAN("LET CONSTRUCTION         ")</f>
        <v xml:space="preserve">LET CONSTRUCTION         </v>
      </c>
      <c r="I883" t="str">
        <f>CLEAN("CONSTRUCTION/RESURFACE             ")</f>
        <v xml:space="preserve">CONSTRUCTION/RESURFACE             </v>
      </c>
      <c r="J883" t="str">
        <f>CLEAN("STH 035")</f>
        <v>STH 035</v>
      </c>
      <c r="K883" t="str">
        <f>CLEAN("PEPIN                         ")</f>
        <v xml:space="preserve">PEPIN                         </v>
      </c>
      <c r="L883" t="str">
        <f>CLEAN("PEPIN - HAGER CITY                 ")</f>
        <v xml:space="preserve">PEPIN - HAGER CITY                 </v>
      </c>
      <c r="M883" t="str">
        <f>CLEAN("WALNUT ST TO PEPIN/PIERCE CO LINE  ")</f>
        <v xml:space="preserve">WALNUT ST TO PEPIN/PIERCE CO LINE  </v>
      </c>
      <c r="N883">
        <v>4.3140000000000001</v>
      </c>
      <c r="O883" t="str">
        <f t="shared" ref="O883:O914" si="274">CLEAN("          ")</f>
        <v xml:space="preserve">          </v>
      </c>
      <c r="P88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84" spans="1:16" x14ac:dyDescent="0.25">
      <c r="A884" t="str">
        <f t="shared" si="258"/>
        <v>10</v>
      </c>
      <c r="B884" t="str">
        <f>CLEAN("21")</f>
        <v>21</v>
      </c>
      <c r="C884" s="1">
        <v>45335</v>
      </c>
      <c r="D884" t="str">
        <f>CLEAN("7189-03-72")</f>
        <v>7189-03-72</v>
      </c>
      <c r="E884" t="str">
        <f>CLEAN("303  ")</f>
        <v xml:space="preserve">303  </v>
      </c>
      <c r="F884" t="str">
        <f>CLEAN("$1,000,000 - $1,999,999  ")</f>
        <v xml:space="preserve">$1,000,000 - $1,999,999  </v>
      </c>
      <c r="G884" t="str">
        <f>CLEAN("LET")</f>
        <v>LET</v>
      </c>
      <c r="H884" t="str">
        <f>CLEAN("LET CONSTRUCTION         ")</f>
        <v xml:space="preserve">LET CONSTRUCTION         </v>
      </c>
      <c r="I884" t="str">
        <f>CLEAN("CONST/LEFT TURN LNS/MONOTUBES/MISC ")</f>
        <v xml:space="preserve">CONST/LEFT TURN LNS/MONOTUBES/MISC </v>
      </c>
      <c r="J884" t="str">
        <f>CLEAN("USH 012")</f>
        <v>USH 012</v>
      </c>
      <c r="K884" t="str">
        <f>CLEAN("MONROE                        ")</f>
        <v xml:space="preserve">MONROE                        </v>
      </c>
      <c r="L884" t="str">
        <f>CLEAN("BLACK RIVER FALLS - TOMAH          ")</f>
        <v xml:space="preserve">BLACK RIVER FALLS - TOMAH          </v>
      </c>
      <c r="M884" t="str">
        <f>CLEAN("WITTIG ROAD INTERSECTION           ")</f>
        <v xml:space="preserve">WITTIG ROAD INTERSECTION           </v>
      </c>
      <c r="N884">
        <v>0.216</v>
      </c>
      <c r="O884" t="str">
        <f t="shared" si="274"/>
        <v xml:space="preserve">          </v>
      </c>
      <c r="P88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85" spans="1:16" x14ac:dyDescent="0.25">
      <c r="A885" t="str">
        <f t="shared" si="258"/>
        <v>10</v>
      </c>
      <c r="B885" t="str">
        <f>CLEAN("25")</f>
        <v>25</v>
      </c>
      <c r="C885" s="1">
        <v>45437</v>
      </c>
      <c r="D885" t="str">
        <f>CLEAN("7224-00-53")</f>
        <v>7224-00-53</v>
      </c>
      <c r="E885" t="str">
        <f>CLEAN("206  ")</f>
        <v xml:space="preserve">206  </v>
      </c>
      <c r="F885" t="str">
        <f>CLEAN("$100,000-$249,999        ")</f>
        <v xml:space="preserve">$100,000-$249,999        </v>
      </c>
      <c r="G885" t="str">
        <f>CLEAN("R/R")</f>
        <v>R/R</v>
      </c>
      <c r="H885" t="str">
        <f>CLEAN("NONLET CONSTR/REAL ESTATE")</f>
        <v>NONLET CONSTR/REAL ESTATE</v>
      </c>
      <c r="I885" t="str">
        <f>CLEAN("RR OPS/PEDESTRIAN CROSSING &amp; GATES ")</f>
        <v xml:space="preserve">RR OPS/PEDESTRIAN CROSSING &amp; GATES </v>
      </c>
      <c r="J885" t="str">
        <f>CLEAN("NON HWY")</f>
        <v>NON HWY</v>
      </c>
      <c r="K885" t="str">
        <f>CLEAN("BUFFALO                       ")</f>
        <v xml:space="preserve">BUFFALO                       </v>
      </c>
      <c r="L885" t="str">
        <f>CLEAN("T BUFFALO, WINONA CONNECTOR        ")</f>
        <v xml:space="preserve">T BUFFALO, WINONA CONNECTOR        </v>
      </c>
      <c r="M885" t="str">
        <f>CLEAN("T BUFFALO PARK-GREAT RIVER ST TRAIL")</f>
        <v>T BUFFALO PARK-GREAT RIVER ST TRAIL</v>
      </c>
      <c r="N885">
        <v>0</v>
      </c>
      <c r="O885" t="str">
        <f t="shared" si="274"/>
        <v xml:space="preserve">          </v>
      </c>
      <c r="P885" t="str">
        <f>CLEAN("FOREST HWYS/PUBLIC LANDS/FLAP                                                                       ")</f>
        <v xml:space="preserve">FOREST HWYS/PUBLIC LANDS/FLAP                                                                       </v>
      </c>
    </row>
    <row r="886" spans="1:16" x14ac:dyDescent="0.25">
      <c r="A886" t="str">
        <f t="shared" si="258"/>
        <v>10</v>
      </c>
      <c r="B886" t="str">
        <f>CLEAN("25")</f>
        <v>25</v>
      </c>
      <c r="C886" s="1">
        <v>45426</v>
      </c>
      <c r="D886" t="str">
        <f>CLEAN("7224-00-73")</f>
        <v>7224-00-73</v>
      </c>
      <c r="E886" t="str">
        <f>CLEAN("206  ")</f>
        <v xml:space="preserve">206  </v>
      </c>
      <c r="F886" t="str">
        <f>CLEAN("$1,000,000 - $1,999,999  ")</f>
        <v xml:space="preserve">$1,000,000 - $1,999,999  </v>
      </c>
      <c r="G886" t="str">
        <f t="shared" ref="G886:G893" si="275">CLEAN("LET")</f>
        <v>LET</v>
      </c>
      <c r="H886" t="str">
        <f t="shared" ref="H886:H893" si="276">CLEAN("LET CONSTRUCTION         ")</f>
        <v xml:space="preserve">LET CONSTRUCTION         </v>
      </c>
      <c r="I886" t="str">
        <f>CLEAN("CONSTR- BIKE/PED TRAIL PHASE II    ")</f>
        <v xml:space="preserve">CONSTR- BIKE/PED TRAIL PHASE II    </v>
      </c>
      <c r="J886" t="str">
        <f>CLEAN("NON HWY")</f>
        <v>NON HWY</v>
      </c>
      <c r="K886" t="str">
        <f>CLEAN("BUFFALO                       ")</f>
        <v xml:space="preserve">BUFFALO                       </v>
      </c>
      <c r="L886" t="str">
        <f>CLEAN("T BUFFALO, WINONA CONNECTOR        ")</f>
        <v xml:space="preserve">T BUFFALO, WINONA CONNECTOR        </v>
      </c>
      <c r="M886" t="str">
        <f>CLEAN("T BUFFALO PARK-GREAT RIVER ST TRAIL")</f>
        <v>T BUFFALO PARK-GREAT RIVER ST TRAIL</v>
      </c>
      <c r="N886">
        <v>0</v>
      </c>
      <c r="O886" t="str">
        <f t="shared" si="274"/>
        <v xml:space="preserve">          </v>
      </c>
      <c r="P886" t="str">
        <f>CLEAN("FOREST HWYS/PUBLIC LANDS/FLAP                                                                       ")</f>
        <v xml:space="preserve">FOREST HWYS/PUBLIC LANDS/FLAP                                                                       </v>
      </c>
    </row>
    <row r="887" spans="1:16" x14ac:dyDescent="0.25">
      <c r="A887" t="str">
        <f t="shared" si="258"/>
        <v>10</v>
      </c>
      <c r="B887" t="str">
        <f>CLEAN("25")</f>
        <v>25</v>
      </c>
      <c r="C887" s="1">
        <v>45636</v>
      </c>
      <c r="D887" t="str">
        <f>CLEAN("7229-00-70")</f>
        <v>7229-00-70</v>
      </c>
      <c r="E887" t="str">
        <f>CLEAN("206  ")</f>
        <v xml:space="preserve">206  </v>
      </c>
      <c r="F887" t="str">
        <f>CLEAN("$1,000,000 - $1,999,999  ")</f>
        <v xml:space="preserve">$1,000,000 - $1,999,999  </v>
      </c>
      <c r="G887" t="str">
        <f t="shared" si="275"/>
        <v>LET</v>
      </c>
      <c r="H887" t="str">
        <f t="shared" si="276"/>
        <v xml:space="preserve">LET CONSTRUCTION         </v>
      </c>
      <c r="I887" t="str">
        <f>CLEAN("CONSTRUCTION/PVRPLA                ")</f>
        <v xml:space="preserve">CONSTRUCTION/PVRPLA                </v>
      </c>
      <c r="J887" t="str">
        <f>CLEAN("CTH B  ")</f>
        <v xml:space="preserve">CTH B  </v>
      </c>
      <c r="K887" t="str">
        <f>CLEAN("BUFFALO                       ")</f>
        <v xml:space="preserve">BUFFALO                       </v>
      </c>
      <c r="L887" t="str">
        <f>CLEAN("STH 37 - GILMANTON                 ")</f>
        <v xml:space="preserve">STH 37 - GILMANTON                 </v>
      </c>
      <c r="M887" t="str">
        <f>CLEAN("STH 37 TO STH 88                   ")</f>
        <v xml:space="preserve">STH 37 TO STH 88                   </v>
      </c>
      <c r="N887">
        <v>2.64</v>
      </c>
      <c r="O887" t="str">
        <f t="shared" si="274"/>
        <v xml:space="preserve">          </v>
      </c>
      <c r="P887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88" spans="1:16" x14ac:dyDescent="0.25">
      <c r="A888" t="str">
        <f t="shared" ref="A888:A951" si="277">CLEAN("10")</f>
        <v>10</v>
      </c>
      <c r="B888" t="str">
        <f>CLEAN("25")</f>
        <v>25</v>
      </c>
      <c r="C888" s="1">
        <v>45300</v>
      </c>
      <c r="D888" t="str">
        <f>CLEAN("7244-00-70")</f>
        <v>7244-00-70</v>
      </c>
      <c r="E888" t="str">
        <f>CLEAN("205  ")</f>
        <v xml:space="preserve">205  </v>
      </c>
      <c r="F888" t="str">
        <f>CLEAN("$250,000 - $499,999      ")</f>
        <v xml:space="preserve">$250,000 - $499,999      </v>
      </c>
      <c r="G888" t="str">
        <f t="shared" si="275"/>
        <v>LET</v>
      </c>
      <c r="H888" t="str">
        <f t="shared" si="276"/>
        <v xml:space="preserve">LET CONSTRUCTION         </v>
      </c>
      <c r="I888" t="str">
        <f>CLEAN("CONSTRUCTION/BRIDGE REPLACEMENT    ")</f>
        <v xml:space="preserve">CONSTRUCTION/BRIDGE REPLACEMENT    </v>
      </c>
      <c r="J888" t="str">
        <f>CLEAN("CTH Z  ")</f>
        <v xml:space="preserve">CTH Z  </v>
      </c>
      <c r="K888" t="str">
        <f>CLEAN("JACKSON                       ")</f>
        <v xml:space="preserve">JACKSON                       </v>
      </c>
      <c r="L888" t="str">
        <f>CLEAN("STH 54 - NORTH COUNTY LINE         ")</f>
        <v xml:space="preserve">STH 54 - NORTH COUNTY LINE         </v>
      </c>
      <c r="M888" t="str">
        <f>CLEAN("HAY CREEK BRIDGE B-27-0176         ")</f>
        <v xml:space="preserve">HAY CREEK BRIDGE B-27-0176         </v>
      </c>
      <c r="N888">
        <v>2.8000000000000001E-2</v>
      </c>
      <c r="O888" t="str">
        <f t="shared" si="274"/>
        <v xml:space="preserve">          </v>
      </c>
      <c r="P88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89" spans="1:16" x14ac:dyDescent="0.25">
      <c r="A889" t="str">
        <f t="shared" si="277"/>
        <v>10</v>
      </c>
      <c r="B889" t="str">
        <f>CLEAN("21")</f>
        <v>21</v>
      </c>
      <c r="C889" s="1">
        <v>45608</v>
      </c>
      <c r="D889" t="str">
        <f>CLEAN("7272-00-72")</f>
        <v>7272-00-72</v>
      </c>
      <c r="E889" t="str">
        <f>CLEAN("205  ")</f>
        <v xml:space="preserve">205  </v>
      </c>
      <c r="F889" t="str">
        <f>CLEAN("$250,000 - $499,999      ")</f>
        <v xml:space="preserve">$250,000 - $499,999      </v>
      </c>
      <c r="G889" t="str">
        <f t="shared" si="275"/>
        <v>LET</v>
      </c>
      <c r="H889" t="str">
        <f t="shared" si="276"/>
        <v xml:space="preserve">LET CONSTRUCTION         </v>
      </c>
      <c r="I889" t="str">
        <f>CLEAN("CONST OPS/BRIDGE REPLACEMENT       ")</f>
        <v xml:space="preserve">CONST OPS/BRIDGE REPLACEMENT       </v>
      </c>
      <c r="J889" t="str">
        <f>CLEAN("LOC STR")</f>
        <v>LOC STR</v>
      </c>
      <c r="K889" t="str">
        <f>CLEAN("LA CROSSE                     ")</f>
        <v xml:space="preserve">LA CROSSE                     </v>
      </c>
      <c r="L889" t="str">
        <f>CLEAN("TOWN OF ONALASKA, MOHICAN TRAIL    ")</f>
        <v xml:space="preserve">TOWN OF ONALASKA, MOHICAN TRAIL    </v>
      </c>
      <c r="M889" t="str">
        <f>CLEAN("BR SAND LAKE COULEE CREEK B-32-0584")</f>
        <v>BR SAND LAKE COULEE CREEK B-32-0584</v>
      </c>
      <c r="N889">
        <v>2.3E-2</v>
      </c>
      <c r="O889" t="str">
        <f t="shared" si="274"/>
        <v xml:space="preserve">          </v>
      </c>
      <c r="P88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0" spans="1:16" x14ac:dyDescent="0.25">
      <c r="A890" t="str">
        <f t="shared" si="277"/>
        <v>10</v>
      </c>
      <c r="B890" t="str">
        <f>CLEAN("25")</f>
        <v>25</v>
      </c>
      <c r="C890" s="1">
        <v>45636</v>
      </c>
      <c r="D890" t="str">
        <f>CLEAN("7281-00-75")</f>
        <v>7281-00-75</v>
      </c>
      <c r="E890" t="str">
        <f>CLEAN("205  ")</f>
        <v xml:space="preserve">205  </v>
      </c>
      <c r="F890" t="str">
        <f>CLEAN("$250,000 - $499,999      ")</f>
        <v xml:space="preserve">$250,000 - $499,999      </v>
      </c>
      <c r="G890" t="str">
        <f t="shared" si="275"/>
        <v>LET</v>
      </c>
      <c r="H890" t="str">
        <f t="shared" si="276"/>
        <v xml:space="preserve">LET CONSTRUCTION         </v>
      </c>
      <c r="I890" t="str">
        <f>CLEAN("CONSTRUCTION/BRIDGE REPLACEMENT    ")</f>
        <v xml:space="preserve">CONSTRUCTION/BRIDGE REPLACEMENT    </v>
      </c>
      <c r="J890" t="str">
        <f>CLEAN("LOC STR")</f>
        <v>LOC STR</v>
      </c>
      <c r="K890" t="str">
        <f>CLEAN("TREMPEALEAU                   ")</f>
        <v xml:space="preserve">TREMPEALEAU                   </v>
      </c>
      <c r="L890" t="str">
        <f>CLEAN("T ETTRICK, LIEN LANE               ")</f>
        <v xml:space="preserve">T ETTRICK, LIEN LANE               </v>
      </c>
      <c r="M890" t="str">
        <f>CLEAN("N FORK BEAVER CREEK BR B-61-0253   ")</f>
        <v xml:space="preserve">N FORK BEAVER CREEK BR B-61-0253   </v>
      </c>
      <c r="N890">
        <v>0</v>
      </c>
      <c r="O890" t="str">
        <f t="shared" si="274"/>
        <v xml:space="preserve">          </v>
      </c>
      <c r="P89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1" spans="1:16" x14ac:dyDescent="0.25">
      <c r="A891" t="str">
        <f t="shared" si="277"/>
        <v>10</v>
      </c>
      <c r="B891" t="str">
        <f>CLEAN("21")</f>
        <v>21</v>
      </c>
      <c r="C891" s="1">
        <v>45272</v>
      </c>
      <c r="D891" t="str">
        <f>CLEAN("7323-00-71")</f>
        <v>7323-00-71</v>
      </c>
      <c r="E891" t="str">
        <f>CLEAN("205  ")</f>
        <v xml:space="preserve">205  </v>
      </c>
      <c r="F891" t="str">
        <f>CLEAN("$2,000,000 - $2,999,999  ")</f>
        <v xml:space="preserve">$2,000,000 - $2,999,999  </v>
      </c>
      <c r="G891" t="str">
        <f t="shared" si="275"/>
        <v>LET</v>
      </c>
      <c r="H891" t="str">
        <f t="shared" si="276"/>
        <v xml:space="preserve">LET CONSTRUCTION         </v>
      </c>
      <c r="I891" t="str">
        <f>CLEAN("CONST/BRIDGE REPLACEMENT           ")</f>
        <v xml:space="preserve">CONST/BRIDGE REPLACEMENT           </v>
      </c>
      <c r="J891" t="str">
        <f>CLEAN("CTH M  ")</f>
        <v xml:space="preserve">CTH M  </v>
      </c>
      <c r="K891" t="str">
        <f>CLEAN("LA CROSSE                     ")</f>
        <v xml:space="preserve">LA CROSSE                     </v>
      </c>
      <c r="L891" t="str">
        <f>CLEAN("STH 16 - CTH S                     ")</f>
        <v xml:space="preserve">STH 16 - CTH S                     </v>
      </c>
      <c r="M891" t="str">
        <f>CLEAN("LA CROSSE RIVER BRIDGE, B-32-0245  ")</f>
        <v xml:space="preserve">LA CROSSE RIVER BRIDGE, B-32-0245  </v>
      </c>
      <c r="N891">
        <v>0.13</v>
      </c>
      <c r="O891" t="str">
        <f t="shared" si="274"/>
        <v xml:space="preserve">          </v>
      </c>
      <c r="P89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2" spans="1:16" x14ac:dyDescent="0.25">
      <c r="A892" t="str">
        <f t="shared" si="277"/>
        <v>10</v>
      </c>
      <c r="B892" t="str">
        <f>CLEAN("25")</f>
        <v>25</v>
      </c>
      <c r="C892" s="1">
        <v>45636</v>
      </c>
      <c r="D892" t="str">
        <f>CLEAN("7364-00-70")</f>
        <v>7364-00-70</v>
      </c>
      <c r="E892" t="str">
        <f>CLEAN("205  ")</f>
        <v xml:space="preserve">205  </v>
      </c>
      <c r="F892" t="str">
        <f>CLEAN("$250,000 - $499,999      ")</f>
        <v xml:space="preserve">$250,000 - $499,999      </v>
      </c>
      <c r="G892" t="str">
        <f t="shared" si="275"/>
        <v>LET</v>
      </c>
      <c r="H892" t="str">
        <f t="shared" si="276"/>
        <v xml:space="preserve">LET CONSTRUCTION         </v>
      </c>
      <c r="I892" t="str">
        <f>CLEAN("CONSTRUCTION/BRIDGE REPLACEMENT    ")</f>
        <v xml:space="preserve">CONSTRUCTION/BRIDGE REPLACEMENT    </v>
      </c>
      <c r="J892" t="str">
        <f>CLEAN("CTH KK ")</f>
        <v xml:space="preserve">CTH KK </v>
      </c>
      <c r="K892" t="str">
        <f>CLEAN("BUFFALO                       ")</f>
        <v xml:space="preserve">BUFFALO                       </v>
      </c>
      <c r="L892" t="str">
        <f>CLEAN("STH 25 - STH 37                    ")</f>
        <v xml:space="preserve">STH 25 - STH 37                    </v>
      </c>
      <c r="M892" t="str">
        <f>CLEAN("LEE VALLEY CREEK BRIDGE B-06-0239  ")</f>
        <v xml:space="preserve">LEE VALLEY CREEK BRIDGE B-06-0239  </v>
      </c>
      <c r="N892">
        <v>0</v>
      </c>
      <c r="O892" t="str">
        <f t="shared" si="274"/>
        <v xml:space="preserve">          </v>
      </c>
      <c r="P8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3" spans="1:16" x14ac:dyDescent="0.25">
      <c r="A893" t="str">
        <f t="shared" si="277"/>
        <v>10</v>
      </c>
      <c r="B893" t="str">
        <f>CLEAN("21")</f>
        <v>21</v>
      </c>
      <c r="C893" s="1">
        <v>45335</v>
      </c>
      <c r="D893" t="str">
        <f>CLEAN("7373-00-74")</f>
        <v>7373-00-74</v>
      </c>
      <c r="E893" t="str">
        <f>CLEAN("206  ")</f>
        <v xml:space="preserve">206  </v>
      </c>
      <c r="F893" t="str">
        <f>CLEAN("$3,000,000 - $3,999,999  ")</f>
        <v xml:space="preserve">$3,000,000 - $3,999,999  </v>
      </c>
      <c r="G893" t="str">
        <f t="shared" si="275"/>
        <v>LET</v>
      </c>
      <c r="H893" t="str">
        <f t="shared" si="276"/>
        <v xml:space="preserve">LET CONSTRUCTION         </v>
      </c>
      <c r="I893" t="str">
        <f>CLEAN("CONST OPS/RECONSTRUCT              ")</f>
        <v xml:space="preserve">CONST OPS/RECONSTRUCT              </v>
      </c>
      <c r="J893" t="str">
        <f>CLEAN("CTH ET ")</f>
        <v xml:space="preserve">CTH ET </v>
      </c>
      <c r="K893" t="str">
        <f>CLEAN("MONROE                        ")</f>
        <v xml:space="preserve">MONROE                        </v>
      </c>
      <c r="L893" t="str">
        <f>CLEAN("T LA GRANGE - T BYRON (CTH ET)     ")</f>
        <v xml:space="preserve">T LA GRANGE - T BYRON (CTH ET)     </v>
      </c>
      <c r="M893" t="str">
        <f>CLEAN("FORBES ROAD TO CTH N               ")</f>
        <v xml:space="preserve">FORBES ROAD TO CTH N               </v>
      </c>
      <c r="N893">
        <v>3.3580000000000001</v>
      </c>
      <c r="O893" t="str">
        <f t="shared" si="274"/>
        <v xml:space="preserve">          </v>
      </c>
      <c r="P89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94" spans="1:16" x14ac:dyDescent="0.25">
      <c r="A894" t="str">
        <f t="shared" si="277"/>
        <v>10</v>
      </c>
      <c r="B894" t="str">
        <f>CLEAN("25")</f>
        <v>25</v>
      </c>
      <c r="C894" s="1">
        <v>45468</v>
      </c>
      <c r="D894" t="str">
        <f>CLEAN("7520-01-50")</f>
        <v>7520-01-50</v>
      </c>
      <c r="E894" t="str">
        <f>CLEAN("207  ")</f>
        <v xml:space="preserve">207  </v>
      </c>
      <c r="F894" t="str">
        <f>CLEAN("$100,000-$249,999        ")</f>
        <v xml:space="preserve">$100,000-$249,999        </v>
      </c>
      <c r="G894" t="str">
        <f>CLEAN("R/R")</f>
        <v>R/R</v>
      </c>
      <c r="H894" t="str">
        <f>CLEAN("NONLET CONSTR/REAL ESTATE")</f>
        <v>NONLET CONSTR/REAL ESTATE</v>
      </c>
      <c r="I894" t="str">
        <f>CLEAN("RR OPS/RAIL-HIGHWAY CROSSING REPAIR")</f>
        <v>RR OPS/RAIL-HIGHWAY CROSSING REPAIR</v>
      </c>
      <c r="J894" t="str">
        <f>CLEAN("STH 095")</f>
        <v>STH 095</v>
      </c>
      <c r="K894" t="str">
        <f>CLEAN("JACKSON                       ")</f>
        <v xml:space="preserve">JACKSON                       </v>
      </c>
      <c r="L894" t="str">
        <f>CLEAN("MERRILLAN - NEILLSVILLE            ")</f>
        <v xml:space="preserve">MERRILLAN - NEILLSVILLE            </v>
      </c>
      <c r="M894" t="str">
        <f>CLEAN("UNION PACIFIC RR XING 184025D      ")</f>
        <v xml:space="preserve">UNION PACIFIC RR XING 184025D      </v>
      </c>
      <c r="N894">
        <v>0</v>
      </c>
      <c r="O894" t="str">
        <f t="shared" si="274"/>
        <v xml:space="preserve">          </v>
      </c>
      <c r="P894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895" spans="1:16" x14ac:dyDescent="0.25">
      <c r="A895" t="str">
        <f t="shared" si="277"/>
        <v>10</v>
      </c>
      <c r="B895" t="str">
        <f>CLEAN("25")</f>
        <v>25</v>
      </c>
      <c r="C895" s="1">
        <v>45272</v>
      </c>
      <c r="D895" t="str">
        <f>CLEAN("7560-05-74")</f>
        <v>7560-05-74</v>
      </c>
      <c r="E895" t="str">
        <f t="shared" ref="E895:E902" si="278">CLEAN("303  ")</f>
        <v xml:space="preserve">303  </v>
      </c>
      <c r="F895" t="str">
        <f>CLEAN("$5,000,000 - $5,999,999  ")</f>
        <v xml:space="preserve">$5,000,000 - $5,999,999  </v>
      </c>
      <c r="G895" t="str">
        <f>CLEAN("LET")</f>
        <v>LET</v>
      </c>
      <c r="H895" t="str">
        <f>CLEAN("LET CONSTRUCTION         ")</f>
        <v xml:space="preserve">LET CONSTRUCTION         </v>
      </c>
      <c r="I895" t="str">
        <f>CLEAN("CONSTRUCTION/RESURFACE             ")</f>
        <v xml:space="preserve">CONSTRUCTION/RESURFACE             </v>
      </c>
      <c r="J895" t="str">
        <f>CLEAN("STH 095")</f>
        <v>STH 095</v>
      </c>
      <c r="K895" t="str">
        <f>CLEAN("JACKSON                       ")</f>
        <v xml:space="preserve">JACKSON                       </v>
      </c>
      <c r="L895" t="str">
        <f>CLEAN("BLAIR - MERRILLAN                  ")</f>
        <v xml:space="preserve">BLAIR - MERRILLAN                  </v>
      </c>
      <c r="M895" t="str">
        <f>CLEAN("TREMPEALEAU/JACKSON CO LN TO IH 94 ")</f>
        <v xml:space="preserve">TREMPEALEAU/JACKSON CO LN TO IH 94 </v>
      </c>
      <c r="N895">
        <v>9.6419999999999995</v>
      </c>
      <c r="O895" t="str">
        <f t="shared" si="274"/>
        <v xml:space="preserve">          </v>
      </c>
      <c r="P8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96" spans="1:16" x14ac:dyDescent="0.25">
      <c r="A896" t="str">
        <f t="shared" si="277"/>
        <v>10</v>
      </c>
      <c r="B896" t="str">
        <f t="shared" ref="B896:B901" si="279">CLEAN("21")</f>
        <v>21</v>
      </c>
      <c r="C896" s="1">
        <v>45300</v>
      </c>
      <c r="D896" t="str">
        <f>CLEAN("7570-05-65")</f>
        <v>7570-05-65</v>
      </c>
      <c r="E896" t="str">
        <f t="shared" si="278"/>
        <v xml:space="preserve">303  </v>
      </c>
      <c r="F896" t="str">
        <f>CLEAN("$250,000 - $499,999      ")</f>
        <v xml:space="preserve">$250,000 - $499,999      </v>
      </c>
      <c r="G896" t="str">
        <f>CLEAN("LET")</f>
        <v>LET</v>
      </c>
      <c r="H896" t="str">
        <f>CLEAN("LET CONSTRUCTION         ")</f>
        <v xml:space="preserve">LET CONSTRUCTION         </v>
      </c>
      <c r="I896" t="str">
        <f>CLEAN("CONST/CONVERT TO A TWLTL/PSRS      ")</f>
        <v xml:space="preserve">CONST/CONVERT TO A TWLTL/PSRS      </v>
      </c>
      <c r="J896" t="str">
        <f>CLEAN("STH 016")</f>
        <v>STH 016</v>
      </c>
      <c r="K896" t="str">
        <f>CLEAN("MONROE                        ")</f>
        <v xml:space="preserve">MONROE                        </v>
      </c>
      <c r="L896" t="str">
        <f>CLEAN("LA CROSSE - SPARTA                 ")</f>
        <v xml:space="preserve">LA CROSSE - SPARTA                 </v>
      </c>
      <c r="M896" t="str">
        <f>CLEAN("E JCT HAMLET AVE TO ALPINE RD      ")</f>
        <v xml:space="preserve">E JCT HAMLET AVE TO ALPINE RD      </v>
      </c>
      <c r="N896">
        <v>0.51800000000000002</v>
      </c>
      <c r="O896" t="str">
        <f t="shared" si="274"/>
        <v xml:space="preserve">          </v>
      </c>
      <c r="P89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97" spans="1:16" x14ac:dyDescent="0.25">
      <c r="A897" t="str">
        <f t="shared" si="277"/>
        <v>10</v>
      </c>
      <c r="B897" t="str">
        <f t="shared" si="279"/>
        <v>21</v>
      </c>
      <c r="C897" s="1">
        <v>45300</v>
      </c>
      <c r="D897" t="str">
        <f>CLEAN("7570-05-65")</f>
        <v>7570-05-65</v>
      </c>
      <c r="E897" t="str">
        <f t="shared" si="278"/>
        <v xml:space="preserve">303  </v>
      </c>
      <c r="F897" t="str">
        <f>CLEAN("$250,000 - $499,999      ")</f>
        <v xml:space="preserve">$250,000 - $499,999      </v>
      </c>
      <c r="G897" t="str">
        <f>CLEAN("LET")</f>
        <v>LET</v>
      </c>
      <c r="H897" t="str">
        <f>CLEAN("LET CONSTRUCTION         ")</f>
        <v xml:space="preserve">LET CONSTRUCTION         </v>
      </c>
      <c r="I897" t="str">
        <f>CLEAN("CONST/CONVERT TO A TWLTL/PSRS      ")</f>
        <v xml:space="preserve">CONST/CONVERT TO A TWLTL/PSRS      </v>
      </c>
      <c r="J897" t="str">
        <f>CLEAN("STH 016")</f>
        <v>STH 016</v>
      </c>
      <c r="K897" t="str">
        <f>CLEAN("MONROE                        ")</f>
        <v xml:space="preserve">MONROE                        </v>
      </c>
      <c r="L897" t="str">
        <f>CLEAN("LA CROSSE - SPARTA                 ")</f>
        <v xml:space="preserve">LA CROSSE - SPARTA                 </v>
      </c>
      <c r="M897" t="str">
        <f>CLEAN("E JCT HAMLET AVE TO ALPINE RD      ")</f>
        <v xml:space="preserve">E JCT HAMLET AVE TO ALPINE RD      </v>
      </c>
      <c r="N897">
        <v>0.51800000000000002</v>
      </c>
      <c r="O897" t="str">
        <f t="shared" si="274"/>
        <v xml:space="preserve">          </v>
      </c>
      <c r="P8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98" spans="1:16" x14ac:dyDescent="0.25">
      <c r="A898" t="str">
        <f t="shared" si="277"/>
        <v>10</v>
      </c>
      <c r="B898" t="str">
        <f t="shared" si="279"/>
        <v>21</v>
      </c>
      <c r="C898" s="1">
        <v>45300</v>
      </c>
      <c r="D898" t="str">
        <f>CLEAN("7570-05-70")</f>
        <v>7570-05-70</v>
      </c>
      <c r="E898" t="str">
        <f t="shared" si="278"/>
        <v xml:space="preserve">303  </v>
      </c>
      <c r="F898" t="str">
        <f>CLEAN("$500,000 - $749,999      ")</f>
        <v xml:space="preserve">$500,000 - $749,999      </v>
      </c>
      <c r="G898" t="str">
        <f>CLEAN("LET")</f>
        <v>LET</v>
      </c>
      <c r="H898" t="str">
        <f>CLEAN("LET CONSTRUCTION         ")</f>
        <v xml:space="preserve">LET CONSTRUCTION         </v>
      </c>
      <c r="I898" t="str">
        <f>CLEAN("CONST/MONOTUBES &amp; LFT TURN LNS/MISC")</f>
        <v>CONST/MONOTUBES &amp; LFT TURN LNS/MISC</v>
      </c>
      <c r="J898" t="str">
        <f>CLEAN("STH 016")</f>
        <v>STH 016</v>
      </c>
      <c r="K898" t="str">
        <f>CLEAN("LA CROSSE                     ")</f>
        <v xml:space="preserve">LA CROSSE                     </v>
      </c>
      <c r="L898" t="str">
        <f>CLEAN("LA CROSSE - SPARTA                 ")</f>
        <v xml:space="preserve">LA CROSSE - SPARTA                 </v>
      </c>
      <c r="M898" t="str">
        <f>CLEAN("CTH M INTERSECTION                 ")</f>
        <v xml:space="preserve">CTH M INTERSECTION                 </v>
      </c>
      <c r="N898">
        <v>0.11600000000000001</v>
      </c>
      <c r="O898" t="str">
        <f t="shared" si="274"/>
        <v xml:space="preserve">          </v>
      </c>
      <c r="P89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99" spans="1:16" x14ac:dyDescent="0.25">
      <c r="A899" t="str">
        <f t="shared" si="277"/>
        <v>10</v>
      </c>
      <c r="B899" t="str">
        <f t="shared" si="279"/>
        <v>21</v>
      </c>
      <c r="C899" s="1">
        <v>45498</v>
      </c>
      <c r="D899" t="str">
        <f>CLEAN("7575-01-26")</f>
        <v>7575-01-26</v>
      </c>
      <c r="E899" t="str">
        <f t="shared" si="278"/>
        <v xml:space="preserve">303  </v>
      </c>
      <c r="F899" t="str">
        <f>CLEAN("$0 - $99,999             ")</f>
        <v xml:space="preserve">$0 - $99,999             </v>
      </c>
      <c r="G899" t="str">
        <f>CLEAN("R/E")</f>
        <v>R/E</v>
      </c>
      <c r="H899" t="str">
        <f>CLEAN("NONLET CONSTR/REAL ESTATE")</f>
        <v>NONLET CONSTR/REAL ESTATE</v>
      </c>
      <c r="I899" t="str">
        <f>CLEAN("RE OPS/ 7575-01-66/ RSRF           ")</f>
        <v xml:space="preserve">RE OPS/ 7575-01-66/ RSRF           </v>
      </c>
      <c r="J899" t="str">
        <f>CLEAN("STH 016")</f>
        <v>STH 016</v>
      </c>
      <c r="K899" t="str">
        <f>CLEAN("LA CROSSE                     ")</f>
        <v xml:space="preserve">LA CROSSE                     </v>
      </c>
      <c r="L899" t="str">
        <f>CLEAN("LA CROSSE - SPARTA                 ")</f>
        <v xml:space="preserve">LA CROSSE - SPARTA                 </v>
      </c>
      <c r="M899" t="str">
        <f>CLEAN("STH 157 TO SOUTH KINNEY COULEE RD  ")</f>
        <v xml:space="preserve">STH 157 TO SOUTH KINNEY COULEE RD  </v>
      </c>
      <c r="N899">
        <v>0.82</v>
      </c>
      <c r="O899" t="str">
        <f t="shared" si="274"/>
        <v xml:space="preserve">          </v>
      </c>
      <c r="P89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0" spans="1:16" x14ac:dyDescent="0.25">
      <c r="A900" t="str">
        <f t="shared" si="277"/>
        <v>10</v>
      </c>
      <c r="B900" t="str">
        <f t="shared" si="279"/>
        <v>21</v>
      </c>
      <c r="C900" s="1">
        <v>45498</v>
      </c>
      <c r="D900" t="str">
        <f>CLEAN("7605-06-51")</f>
        <v>7605-06-51</v>
      </c>
      <c r="E900" t="str">
        <f t="shared" si="278"/>
        <v xml:space="preserve">303  </v>
      </c>
      <c r="F900" t="str">
        <f>CLEAN("$500,000 - $749,999      ")</f>
        <v xml:space="preserve">$500,000 - $749,999      </v>
      </c>
      <c r="G900" t="str">
        <f>CLEAN("R/R")</f>
        <v>R/R</v>
      </c>
      <c r="H900" t="str">
        <f>CLEAN("NONLET CONSTR/REAL ESTATE")</f>
        <v>NONLET CONSTR/REAL ESTATE</v>
      </c>
      <c r="I900" t="str">
        <f>CLEAN("RR SIGNALS /7605-06-62/ PSRS       ")</f>
        <v xml:space="preserve">RR SIGNALS /7605-06-62/ PSRS       </v>
      </c>
      <c r="J900" t="str">
        <f>CLEAN("STH 021")</f>
        <v>STH 021</v>
      </c>
      <c r="K900" t="str">
        <f>CLEAN("MONROE                        ")</f>
        <v xml:space="preserve">MONROE                        </v>
      </c>
      <c r="L900" t="str">
        <f>CLEAN("SPARTA - TOMAH                     ")</f>
        <v xml:space="preserve">SPARTA - TOMAH                     </v>
      </c>
      <c r="M900" t="str">
        <f>CLEAN("CP/SOO, SIGNALS, 187 045A, MP 1.10 ")</f>
        <v xml:space="preserve">CP/SOO, SIGNALS, 187 045A, MP 1.10 </v>
      </c>
      <c r="N900">
        <v>15.7</v>
      </c>
      <c r="O900" t="str">
        <f t="shared" si="274"/>
        <v xml:space="preserve">          </v>
      </c>
      <c r="P9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1" spans="1:16" x14ac:dyDescent="0.25">
      <c r="A901" t="str">
        <f t="shared" si="277"/>
        <v>10</v>
      </c>
      <c r="B901" t="str">
        <f t="shared" si="279"/>
        <v>21</v>
      </c>
      <c r="C901" s="1">
        <v>45498</v>
      </c>
      <c r="D901" t="str">
        <f>CLEAN("7605-06-52")</f>
        <v>7605-06-52</v>
      </c>
      <c r="E901" t="str">
        <f t="shared" si="278"/>
        <v xml:space="preserve">303  </v>
      </c>
      <c r="F901" t="str">
        <f>CLEAN("$250,000 - $499,999      ")</f>
        <v xml:space="preserve">$250,000 - $499,999      </v>
      </c>
      <c r="G901" t="str">
        <f>CLEAN("R/R")</f>
        <v>R/R</v>
      </c>
      <c r="H901" t="str">
        <f>CLEAN("NONLET CONSTR/REAL ESTATE")</f>
        <v>NONLET CONSTR/REAL ESTATE</v>
      </c>
      <c r="I901" t="str">
        <f>CLEAN("RR SURFACE /7605-06-62/ PSRS       ")</f>
        <v xml:space="preserve">RR SURFACE /7605-06-62/ PSRS       </v>
      </c>
      <c r="J901" t="str">
        <f>CLEAN("STH 021")</f>
        <v>STH 021</v>
      </c>
      <c r="K901" t="str">
        <f>CLEAN("MONROE                        ")</f>
        <v xml:space="preserve">MONROE                        </v>
      </c>
      <c r="L901" t="str">
        <f>CLEAN("SPARTA - TOMAH                     ")</f>
        <v xml:space="preserve">SPARTA - TOMAH                     </v>
      </c>
      <c r="M901" t="str">
        <f>CLEAN("CP/SOO, SURFACE, 187 045A, MP 1.10 ")</f>
        <v xml:space="preserve">CP/SOO, SURFACE, 187 045A, MP 1.10 </v>
      </c>
      <c r="N901">
        <v>15.7</v>
      </c>
      <c r="O901" t="str">
        <f t="shared" si="274"/>
        <v xml:space="preserve">          </v>
      </c>
      <c r="P90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2" spans="1:16" x14ac:dyDescent="0.25">
      <c r="A902" t="str">
        <f t="shared" si="277"/>
        <v>10</v>
      </c>
      <c r="B902" t="str">
        <f t="shared" ref="B902:B917" si="280">CLEAN("25")</f>
        <v>25</v>
      </c>
      <c r="C902" s="1">
        <v>45316</v>
      </c>
      <c r="D902" t="str">
        <f>CLEAN("7720-00-21")</f>
        <v>7720-00-21</v>
      </c>
      <c r="E902" t="str">
        <f t="shared" si="278"/>
        <v xml:space="preserve">303  </v>
      </c>
      <c r="F902" t="str">
        <f>CLEAN("$0 - $99,999             ")</f>
        <v xml:space="preserve">$0 - $99,999             </v>
      </c>
      <c r="G902" t="str">
        <f>CLEAN("R/E")</f>
        <v>R/E</v>
      </c>
      <c r="H902" t="str">
        <f>CLEAN("NONLET CONSTR/REAL ESTATE")</f>
        <v>NONLET CONSTR/REAL ESTATE</v>
      </c>
      <c r="I902" t="str">
        <f>CLEAN("REAL ESTATE ACQUISITION            ")</f>
        <v xml:space="preserve">REAL ESTATE ACQUISITION            </v>
      </c>
      <c r="J902" t="str">
        <f>CLEAN("STH 095")</f>
        <v>STH 095</v>
      </c>
      <c r="K902" t="str">
        <f>CLEAN("TREMPEALEAU                   ")</f>
        <v xml:space="preserve">TREMPEALEAU                   </v>
      </c>
      <c r="L902" t="str">
        <f>CLEAN("C ARCADIA, MAIN STREET             ")</f>
        <v xml:space="preserve">C ARCADIA, MAIN STREET             </v>
      </c>
      <c r="M902" t="str">
        <f>CLEAN("CTH A TO 250' W OF STH 93          ")</f>
        <v xml:space="preserve">CTH A TO 250' W OF STH 93          </v>
      </c>
      <c r="N902">
        <v>2.0030000000000001</v>
      </c>
      <c r="O902" t="str">
        <f t="shared" si="274"/>
        <v xml:space="preserve">          </v>
      </c>
      <c r="P90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3" spans="1:16" x14ac:dyDescent="0.25">
      <c r="A903" t="str">
        <f t="shared" si="277"/>
        <v>10</v>
      </c>
      <c r="B903" t="str">
        <f t="shared" si="280"/>
        <v>25</v>
      </c>
      <c r="C903" s="1">
        <v>45335</v>
      </c>
      <c r="D903" t="str">
        <f>CLEAN("7835-00-70")</f>
        <v>7835-00-70</v>
      </c>
      <c r="E903" t="str">
        <f t="shared" ref="E903:E908" si="281">CLEAN("205  ")</f>
        <v xml:space="preserve">205  </v>
      </c>
      <c r="F903" t="str">
        <f>CLEAN("$250,000 - $499,999      ")</f>
        <v xml:space="preserve">$250,000 - $499,999      </v>
      </c>
      <c r="G903" t="str">
        <f t="shared" ref="G903:G915" si="282">CLEAN("LET")</f>
        <v>LET</v>
      </c>
      <c r="H903" t="str">
        <f t="shared" ref="H903:H915" si="283">CLEAN("LET CONSTRUCTION         ")</f>
        <v xml:space="preserve">LET CONSTRUCTION         </v>
      </c>
      <c r="I903" t="str">
        <f>CLEAN("CONSTRUCTION/BRIDGE REPLACEMENT    ")</f>
        <v xml:space="preserve">CONSTRUCTION/BRIDGE REPLACEMENT    </v>
      </c>
      <c r="J903" t="str">
        <f>CLEAN("LOC STR")</f>
        <v>LOC STR</v>
      </c>
      <c r="K903" t="str">
        <f t="shared" ref="K903:K910" si="284">CLEAN("CLARK                         ")</f>
        <v xml:space="preserve">CLARK                         </v>
      </c>
      <c r="L903" t="str">
        <f>CLEAN("T LONGWOOD, CLOVERDALE ROAD        ")</f>
        <v xml:space="preserve">T LONGWOOD, CLOVERDALE ROAD        </v>
      </c>
      <c r="M903" t="str">
        <f>CLEAN("BR BLACK RIVER BRIDGE B-10-0265    ")</f>
        <v xml:space="preserve">BR BLACK RIVER BRIDGE B-10-0265    </v>
      </c>
      <c r="N903">
        <v>2.8000000000000001E-2</v>
      </c>
      <c r="O903" t="str">
        <f t="shared" si="274"/>
        <v xml:space="preserve">          </v>
      </c>
      <c r="P903" t="str">
        <f t="shared" ref="P903:P908" si="285"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04" spans="1:16" x14ac:dyDescent="0.25">
      <c r="A904" t="str">
        <f t="shared" si="277"/>
        <v>10</v>
      </c>
      <c r="B904" t="str">
        <f t="shared" si="280"/>
        <v>25</v>
      </c>
      <c r="C904" s="1">
        <v>45335</v>
      </c>
      <c r="D904" t="str">
        <f>CLEAN("7839-00-70")</f>
        <v>7839-00-70</v>
      </c>
      <c r="E904" t="str">
        <f t="shared" si="281"/>
        <v xml:space="preserve">205  </v>
      </c>
      <c r="F904" t="str">
        <f>CLEAN("$500,000 - $749,999      ")</f>
        <v xml:space="preserve">$500,000 - $749,999      </v>
      </c>
      <c r="G904" t="str">
        <f t="shared" si="282"/>
        <v>LET</v>
      </c>
      <c r="H904" t="str">
        <f t="shared" si="283"/>
        <v xml:space="preserve">LET CONSTRUCTION         </v>
      </c>
      <c r="I904" t="str">
        <f>CLEAN("CONSTRUCTION/BRIDGE REPLACEMENT    ")</f>
        <v xml:space="preserve">CONSTRUCTION/BRIDGE REPLACEMENT    </v>
      </c>
      <c r="J904" t="str">
        <f>CLEAN("LOC STR")</f>
        <v>LOC STR</v>
      </c>
      <c r="K904" t="str">
        <f t="shared" si="284"/>
        <v xml:space="preserve">CLARK                         </v>
      </c>
      <c r="L904" t="str">
        <f>CLEAN("T MEAD, STARKS ROAD                ")</f>
        <v xml:space="preserve">T MEAD, STARKS ROAD                </v>
      </c>
      <c r="M904" t="str">
        <f>CLEAN("S FORK EAU CLAIRE RVR BRDG B100396 ")</f>
        <v xml:space="preserve">S FORK EAU CLAIRE RVR BRDG B100396 </v>
      </c>
      <c r="N904">
        <v>3.5000000000000003E-2</v>
      </c>
      <c r="O904" t="str">
        <f t="shared" si="274"/>
        <v xml:space="preserve">          </v>
      </c>
      <c r="P904" t="str">
        <f t="shared" si="285"/>
        <v xml:space="preserve">LOCAL BRIDGES                                                                                       </v>
      </c>
    </row>
    <row r="905" spans="1:16" x14ac:dyDescent="0.25">
      <c r="A905" t="str">
        <f t="shared" si="277"/>
        <v>10</v>
      </c>
      <c r="B905" t="str">
        <f t="shared" si="280"/>
        <v>25</v>
      </c>
      <c r="C905" s="1">
        <v>45608</v>
      </c>
      <c r="D905" t="str">
        <f>CLEAN("7839-03-71")</f>
        <v>7839-03-71</v>
      </c>
      <c r="E905" t="str">
        <f t="shared" si="281"/>
        <v xml:space="preserve">205  </v>
      </c>
      <c r="F905" t="str">
        <f>CLEAN("$3,000,000 - $3,999,999  ")</f>
        <v xml:space="preserve">$3,000,000 - $3,999,999  </v>
      </c>
      <c r="G905" t="str">
        <f t="shared" si="282"/>
        <v>LET</v>
      </c>
      <c r="H905" t="str">
        <f t="shared" si="283"/>
        <v xml:space="preserve">LET CONSTRUCTION         </v>
      </c>
      <c r="I905" t="str">
        <f>CLEAN("CONSTRUCTION/BRIDGE REPLACEMENT    ")</f>
        <v xml:space="preserve">CONSTRUCTION/BRIDGE REPLACEMENT    </v>
      </c>
      <c r="J905" t="str">
        <f>CLEAN("CTH M  ")</f>
        <v xml:space="preserve">CTH M  </v>
      </c>
      <c r="K905" t="str">
        <f t="shared" si="284"/>
        <v xml:space="preserve">CLARK                         </v>
      </c>
      <c r="L905" t="str">
        <f>CLEAN("CTH I - THORP                      ")</f>
        <v xml:space="preserve">CTH I - THORP                      </v>
      </c>
      <c r="M905" t="str">
        <f>CLEAN("S FORK EAU CLAIRE RVR BRDG B100397 ")</f>
        <v xml:space="preserve">S FORK EAU CLAIRE RVR BRDG B100397 </v>
      </c>
      <c r="N905">
        <v>3.7999999999999999E-2</v>
      </c>
      <c r="O905" t="str">
        <f t="shared" si="274"/>
        <v xml:space="preserve">          </v>
      </c>
      <c r="P905" t="str">
        <f t="shared" si="285"/>
        <v xml:space="preserve">LOCAL BRIDGES                                                                                       </v>
      </c>
    </row>
    <row r="906" spans="1:16" x14ac:dyDescent="0.25">
      <c r="A906" t="str">
        <f t="shared" si="277"/>
        <v>10</v>
      </c>
      <c r="B906" t="str">
        <f t="shared" si="280"/>
        <v>25</v>
      </c>
      <c r="C906" s="1">
        <v>45517</v>
      </c>
      <c r="D906" t="str">
        <f>CLEAN("7840-03-73")</f>
        <v>7840-03-73</v>
      </c>
      <c r="E906" t="str">
        <f t="shared" si="281"/>
        <v xml:space="preserve">205  </v>
      </c>
      <c r="F906" t="str">
        <f>CLEAN("$2,000,000 - $2,999,999  ")</f>
        <v xml:space="preserve">$2,000,000 - $2,999,999  </v>
      </c>
      <c r="G906" t="str">
        <f t="shared" si="282"/>
        <v>LET</v>
      </c>
      <c r="H906" t="str">
        <f t="shared" si="283"/>
        <v xml:space="preserve">LET CONSTRUCTION         </v>
      </c>
      <c r="I906" t="str">
        <f>CLEAN("CONSTRUCTION/BRIDGE REPLACEMENT    ")</f>
        <v xml:space="preserve">CONSTRUCTION/BRIDGE REPLACEMENT    </v>
      </c>
      <c r="J906" t="str">
        <f>CLEAN("CTH G  ")</f>
        <v xml:space="preserve">CTH G  </v>
      </c>
      <c r="K906" t="str">
        <f t="shared" si="284"/>
        <v xml:space="preserve">CLARK                         </v>
      </c>
      <c r="L906" t="str">
        <f>CLEAN("USH 10 - GREENWOOD                 ")</f>
        <v xml:space="preserve">USH 10 - GREENWOOD                 </v>
      </c>
      <c r="M906" t="str">
        <f>CLEAN("BLACK RIVER BRIDGE B-10-0398       ")</f>
        <v xml:space="preserve">BLACK RIVER BRIDGE B-10-0398       </v>
      </c>
      <c r="N906">
        <v>5.3999999999999999E-2</v>
      </c>
      <c r="O906" t="str">
        <f t="shared" si="274"/>
        <v xml:space="preserve">          </v>
      </c>
      <c r="P906" t="str">
        <f t="shared" si="285"/>
        <v xml:space="preserve">LOCAL BRIDGES                                                                                       </v>
      </c>
    </row>
    <row r="907" spans="1:16" x14ac:dyDescent="0.25">
      <c r="A907" t="str">
        <f t="shared" si="277"/>
        <v>10</v>
      </c>
      <c r="B907" t="str">
        <f t="shared" si="280"/>
        <v>25</v>
      </c>
      <c r="C907" s="1">
        <v>45426</v>
      </c>
      <c r="D907" t="str">
        <f>CLEAN("7841-00-03")</f>
        <v>7841-00-03</v>
      </c>
      <c r="E907" t="str">
        <f t="shared" si="281"/>
        <v xml:space="preserve">205  </v>
      </c>
      <c r="F907" t="str">
        <f>CLEAN("$250,000 - $499,999      ")</f>
        <v xml:space="preserve">$250,000 - $499,999      </v>
      </c>
      <c r="G907" t="str">
        <f t="shared" si="282"/>
        <v>LET</v>
      </c>
      <c r="H907" t="str">
        <f t="shared" si="283"/>
        <v xml:space="preserve">LET CONSTRUCTION         </v>
      </c>
      <c r="I907" t="str">
        <f>CLEAN("CONSTRUCTION/BRIDGE REPLACEMENT    ")</f>
        <v xml:space="preserve">CONSTRUCTION/BRIDGE REPLACEMENT    </v>
      </c>
      <c r="J907" t="str">
        <f>CLEAN("LOC STR")</f>
        <v>LOC STR</v>
      </c>
      <c r="K907" t="str">
        <f t="shared" si="284"/>
        <v xml:space="preserve">CLARK                         </v>
      </c>
      <c r="L907" t="str">
        <f>CLEAN("T BEAVER, KINGTON ROAD             ")</f>
        <v xml:space="preserve">T BEAVER, KINGTON ROAD             </v>
      </c>
      <c r="M907" t="str">
        <f>CLEAN("NELSON CREEK BRIDGE B-10-0255      ")</f>
        <v xml:space="preserve">NELSON CREEK BRIDGE B-10-0255      </v>
      </c>
      <c r="N907">
        <v>0</v>
      </c>
      <c r="O907" t="str">
        <f t="shared" si="274"/>
        <v xml:space="preserve">          </v>
      </c>
      <c r="P907" t="str">
        <f t="shared" si="285"/>
        <v xml:space="preserve">LOCAL BRIDGES                                                                                       </v>
      </c>
    </row>
    <row r="908" spans="1:16" x14ac:dyDescent="0.25">
      <c r="A908" t="str">
        <f t="shared" si="277"/>
        <v>10</v>
      </c>
      <c r="B908" t="str">
        <f t="shared" si="280"/>
        <v>25</v>
      </c>
      <c r="C908" s="1">
        <v>45363</v>
      </c>
      <c r="D908" t="str">
        <f>CLEAN("7846-00-70")</f>
        <v>7846-00-70</v>
      </c>
      <c r="E908" t="str">
        <f t="shared" si="281"/>
        <v xml:space="preserve">205  </v>
      </c>
      <c r="F908" t="str">
        <f>CLEAN("$250,000 - $499,999      ")</f>
        <v xml:space="preserve">$250,000 - $499,999      </v>
      </c>
      <c r="G908" t="str">
        <f t="shared" si="282"/>
        <v>LET</v>
      </c>
      <c r="H908" t="str">
        <f t="shared" si="283"/>
        <v xml:space="preserve">LET CONSTRUCTION         </v>
      </c>
      <c r="I908" t="str">
        <f>CLEAN("CONSTRUCTON/BRIDGE REPLACEMENT     ")</f>
        <v xml:space="preserve">CONSTRUCTON/BRIDGE REPLACEMENT     </v>
      </c>
      <c r="J908" t="str">
        <f>CLEAN("LOC STR")</f>
        <v>LOC STR</v>
      </c>
      <c r="K908" t="str">
        <f t="shared" si="284"/>
        <v xml:space="preserve">CLARK                         </v>
      </c>
      <c r="L908" t="str">
        <f>CLEAN("T LOYAL, MANN ROAD                 ")</f>
        <v xml:space="preserve">T LOYAL, MANN ROAD                 </v>
      </c>
      <c r="M908" t="str">
        <f>CLEAN("N BR ONEILL CREEK BRIDGE B-10-0254 ")</f>
        <v xml:space="preserve">N BR ONEILL CREEK BRIDGE B-10-0254 </v>
      </c>
      <c r="N908">
        <v>2.5999999999999999E-2</v>
      </c>
      <c r="O908" t="str">
        <f t="shared" si="274"/>
        <v xml:space="preserve">          </v>
      </c>
      <c r="P908" t="str">
        <f t="shared" si="285"/>
        <v xml:space="preserve">LOCAL BRIDGES                                                                                       </v>
      </c>
    </row>
    <row r="909" spans="1:16" x14ac:dyDescent="0.25">
      <c r="A909" t="str">
        <f t="shared" si="277"/>
        <v>10</v>
      </c>
      <c r="B909" t="str">
        <f t="shared" si="280"/>
        <v>25</v>
      </c>
      <c r="C909" s="1">
        <v>45608</v>
      </c>
      <c r="D909" t="str">
        <f>CLEAN("7849-03-74")</f>
        <v>7849-03-74</v>
      </c>
      <c r="E909" t="str">
        <f>CLEAN("206  ")</f>
        <v xml:space="preserve">206  </v>
      </c>
      <c r="F909" t="str">
        <f>CLEAN("$1,000,000 - $1,999,999  ")</f>
        <v xml:space="preserve">$1,000,000 - $1,999,999  </v>
      </c>
      <c r="G909" t="str">
        <f t="shared" si="282"/>
        <v>LET</v>
      </c>
      <c r="H909" t="str">
        <f t="shared" si="283"/>
        <v xml:space="preserve">LET CONSTRUCTION         </v>
      </c>
      <c r="I909" t="str">
        <f>CLEAN("CONSTRUCTION/SAFETY                ")</f>
        <v xml:space="preserve">CONSTRUCTION/SAFETY                </v>
      </c>
      <c r="J909" t="str">
        <f>CLEAN("CTH H  ")</f>
        <v xml:space="preserve">CTH H  </v>
      </c>
      <c r="K909" t="str">
        <f t="shared" si="284"/>
        <v xml:space="preserve">CLARK                         </v>
      </c>
      <c r="L909" t="str">
        <f>CLEAN("GLOBE - EAST COUNTY LINE           ")</f>
        <v xml:space="preserve">GLOBE - EAST COUNTY LINE           </v>
      </c>
      <c r="M909" t="str">
        <f>CLEAN("CTH K INTERSECTION                 ")</f>
        <v xml:space="preserve">CTH K INTERSECTION                 </v>
      </c>
      <c r="N909">
        <v>1.2E-2</v>
      </c>
      <c r="O909" t="str">
        <f t="shared" si="274"/>
        <v xml:space="preserve">          </v>
      </c>
      <c r="P90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910" spans="1:16" x14ac:dyDescent="0.25">
      <c r="A910" t="str">
        <f t="shared" si="277"/>
        <v>10</v>
      </c>
      <c r="B910" t="str">
        <f t="shared" si="280"/>
        <v>25</v>
      </c>
      <c r="C910" s="1">
        <v>45363</v>
      </c>
      <c r="D910" t="str">
        <f>CLEAN("7850-00-71")</f>
        <v>7850-00-71</v>
      </c>
      <c r="E910" t="str">
        <f>CLEAN("205  ")</f>
        <v xml:space="preserve">205  </v>
      </c>
      <c r="F910" t="str">
        <f>CLEAN("$250,000 - $499,999      ")</f>
        <v xml:space="preserve">$250,000 - $499,999      </v>
      </c>
      <c r="G910" t="str">
        <f t="shared" si="282"/>
        <v>LET</v>
      </c>
      <c r="H910" t="str">
        <f t="shared" si="283"/>
        <v xml:space="preserve">LET CONSTRUCTION         </v>
      </c>
      <c r="I910" t="str">
        <f>CLEAN("CONSTRUCTION/BRIDGE REPLACEMENT    ")</f>
        <v xml:space="preserve">CONSTRUCTION/BRIDGE REPLACEMENT    </v>
      </c>
      <c r="J910" t="str">
        <f>CLEAN("LOC STR")</f>
        <v>LOC STR</v>
      </c>
      <c r="K910" t="str">
        <f t="shared" si="284"/>
        <v xml:space="preserve">CLARK                         </v>
      </c>
      <c r="L910" t="str">
        <f>CLEAN("T YORK, ROMADKA AVE                ")</f>
        <v xml:space="preserve">T YORK, ROMADKA AVE                </v>
      </c>
      <c r="M910" t="str">
        <f>CLEAN("MIDDLE BR ONEILL CREEK BRDG B100399")</f>
        <v>MIDDLE BR ONEILL CREEK BRDG B100399</v>
      </c>
      <c r="N910">
        <v>1.4999999999999999E-2</v>
      </c>
      <c r="O910" t="str">
        <f t="shared" si="274"/>
        <v xml:space="preserve">          </v>
      </c>
      <c r="P91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11" spans="1:16" x14ac:dyDescent="0.25">
      <c r="A911" t="str">
        <f t="shared" si="277"/>
        <v>10</v>
      </c>
      <c r="B911" t="str">
        <f t="shared" si="280"/>
        <v>25</v>
      </c>
      <c r="C911" s="1">
        <v>45335</v>
      </c>
      <c r="D911" t="str">
        <f>CLEAN("7862-00-70")</f>
        <v>7862-00-70</v>
      </c>
      <c r="E911" t="str">
        <f>CLEAN("205  ")</f>
        <v xml:space="preserve">205  </v>
      </c>
      <c r="F911" t="str">
        <f>CLEAN("$500,000 - $749,999      ")</f>
        <v xml:space="preserve">$500,000 - $749,999      </v>
      </c>
      <c r="G911" t="str">
        <f t="shared" si="282"/>
        <v>LET</v>
      </c>
      <c r="H911" t="str">
        <f t="shared" si="283"/>
        <v xml:space="preserve">LET CONSTRUCTION         </v>
      </c>
      <c r="I911" t="str">
        <f>CLEAN("CONSTRUCTION/BRIDGE REPLACEMENT    ")</f>
        <v xml:space="preserve">CONSTRUCTION/BRIDGE REPLACEMENT    </v>
      </c>
      <c r="J911" t="str">
        <f>CLEAN("LOC STR")</f>
        <v>LOC STR</v>
      </c>
      <c r="K911" t="str">
        <f>CLEAN("CHIPPEWA                      ")</f>
        <v xml:space="preserve">CHIPPEWA                      </v>
      </c>
      <c r="L911" t="str">
        <f>CLEAN("T SIGEL, 240TH STREET              ")</f>
        <v xml:space="preserve">T SIGEL, 240TH STREET              </v>
      </c>
      <c r="M911" t="str">
        <f>CLEAN("PAINT CREEK BRIDGE B-09-0393       ")</f>
        <v xml:space="preserve">PAINT CREEK BRIDGE B-09-0393       </v>
      </c>
      <c r="N911">
        <v>3.4000000000000002E-2</v>
      </c>
      <c r="O911" t="str">
        <f t="shared" si="274"/>
        <v xml:space="preserve">          </v>
      </c>
      <c r="P91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12" spans="1:16" x14ac:dyDescent="0.25">
      <c r="A912" t="str">
        <f t="shared" si="277"/>
        <v>10</v>
      </c>
      <c r="B912" t="str">
        <f t="shared" si="280"/>
        <v>25</v>
      </c>
      <c r="C912" s="1">
        <v>45608</v>
      </c>
      <c r="D912" t="str">
        <f>CLEAN("7874-00-70")</f>
        <v>7874-00-70</v>
      </c>
      <c r="E912" t="str">
        <f>CLEAN("205  ")</f>
        <v xml:space="preserve">205  </v>
      </c>
      <c r="F912" t="str">
        <f>CLEAN("$250,000 - $499,999      ")</f>
        <v xml:space="preserve">$250,000 - $499,999      </v>
      </c>
      <c r="G912" t="str">
        <f t="shared" si="282"/>
        <v>LET</v>
      </c>
      <c r="H912" t="str">
        <f t="shared" si="283"/>
        <v xml:space="preserve">LET CONSTRUCTION         </v>
      </c>
      <c r="I912" t="str">
        <f>CLEAN("CONSTRUCTION/BRIDGE REPLACEMENT    ")</f>
        <v xml:space="preserve">CONSTRUCTION/BRIDGE REPLACEMENT    </v>
      </c>
      <c r="J912" t="str">
        <f>CLEAN("LOC STR")</f>
        <v>LOC STR</v>
      </c>
      <c r="K912" t="str">
        <f>CLEAN("DUNN                          ")</f>
        <v xml:space="preserve">DUNN                          </v>
      </c>
      <c r="L912" t="str">
        <f>CLEAN("T ROCK CREEK, 810TH STREET         ")</f>
        <v xml:space="preserve">T ROCK CREEK, 810TH STREET         </v>
      </c>
      <c r="M912" t="str">
        <f>CLEAN("CRANBERRY CREEK BRIDGE B-17-0239   ")</f>
        <v xml:space="preserve">CRANBERRY CREEK BRIDGE B-17-0239   </v>
      </c>
      <c r="N912">
        <v>0</v>
      </c>
      <c r="O912" t="str">
        <f t="shared" si="274"/>
        <v xml:space="preserve">          </v>
      </c>
      <c r="P91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13" spans="1:16" x14ac:dyDescent="0.25">
      <c r="A913" t="str">
        <f t="shared" si="277"/>
        <v>10</v>
      </c>
      <c r="B913" t="str">
        <f t="shared" si="280"/>
        <v>25</v>
      </c>
      <c r="C913" s="1">
        <v>45300</v>
      </c>
      <c r="D913" t="str">
        <f>CLEAN("7879-03-74")</f>
        <v>7879-03-74</v>
      </c>
      <c r="E913" t="str">
        <f>CLEAN("205  ")</f>
        <v xml:space="preserve">205  </v>
      </c>
      <c r="F913" t="str">
        <f>CLEAN("$500,000 - $749,999      ")</f>
        <v xml:space="preserve">$500,000 - $749,999      </v>
      </c>
      <c r="G913" t="str">
        <f t="shared" si="282"/>
        <v>LET</v>
      </c>
      <c r="H913" t="str">
        <f t="shared" si="283"/>
        <v xml:space="preserve">LET CONSTRUCTION         </v>
      </c>
      <c r="I913" t="str">
        <f>CLEAN("CONSTRUCTION/BRIDGE REPLACEMENT    ")</f>
        <v xml:space="preserve">CONSTRUCTION/BRIDGE REPLACEMENT    </v>
      </c>
      <c r="J913" t="str">
        <f>CLEAN("CTH C  ")</f>
        <v xml:space="preserve">CTH C  </v>
      </c>
      <c r="K913" t="str">
        <f>CLEAN("DUNN                          ")</f>
        <v xml:space="preserve">DUNN                          </v>
      </c>
      <c r="L913" t="str">
        <f>CLEAN("DOWNSVILLE - EAST COUNTY LINE      ")</f>
        <v xml:space="preserve">DOWNSVILLE - EAST COUNTY LINE      </v>
      </c>
      <c r="M913" t="str">
        <f>CLEAN("MUDDY CREEK BRIDGE B-17-0234       ")</f>
        <v xml:space="preserve">MUDDY CREEK BRIDGE B-17-0234       </v>
      </c>
      <c r="N913">
        <v>3.3000000000000002E-2</v>
      </c>
      <c r="O913" t="str">
        <f t="shared" si="274"/>
        <v xml:space="preserve">          </v>
      </c>
      <c r="P91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14" spans="1:16" x14ac:dyDescent="0.25">
      <c r="A914" t="str">
        <f t="shared" si="277"/>
        <v>10</v>
      </c>
      <c r="B914" t="str">
        <f t="shared" si="280"/>
        <v>25</v>
      </c>
      <c r="C914" s="1">
        <v>45272</v>
      </c>
      <c r="D914" t="str">
        <f>CLEAN("7881-00-70")</f>
        <v>7881-00-70</v>
      </c>
      <c r="E914" t="str">
        <f>CLEAN("205  ")</f>
        <v xml:space="preserve">205  </v>
      </c>
      <c r="F914" t="str">
        <f>CLEAN("$500,000 - $749,999      ")</f>
        <v xml:space="preserve">$500,000 - $749,999      </v>
      </c>
      <c r="G914" t="str">
        <f t="shared" si="282"/>
        <v>LET</v>
      </c>
      <c r="H914" t="str">
        <f t="shared" si="283"/>
        <v xml:space="preserve">LET CONSTRUCTION         </v>
      </c>
      <c r="I914" t="str">
        <f>CLEAN("CONSTR/BRRHB/DECK REPLACEMENT      ")</f>
        <v xml:space="preserve">CONSTR/BRRHB/DECK REPLACEMENT      </v>
      </c>
      <c r="J914" t="str">
        <f>CLEAN("LOC STR")</f>
        <v>LOC STR</v>
      </c>
      <c r="K914" t="str">
        <f>CLEAN("DUNN                          ")</f>
        <v xml:space="preserve">DUNN                          </v>
      </c>
      <c r="L914" t="str">
        <f>CLEAN("T MENOMONIE, 390TH STREET          ")</f>
        <v xml:space="preserve">T MENOMONIE, 390TH STREET          </v>
      </c>
      <c r="M914" t="str">
        <f>CLEAN("WILSON CREEK BRIDGE P-17-0062      ")</f>
        <v xml:space="preserve">WILSON CREEK BRIDGE P-17-0062      </v>
      </c>
      <c r="N914">
        <v>6.4000000000000001E-2</v>
      </c>
      <c r="O914" t="str">
        <f t="shared" si="274"/>
        <v xml:space="preserve">          </v>
      </c>
      <c r="P91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15" spans="1:16" x14ac:dyDescent="0.25">
      <c r="A915" t="str">
        <f t="shared" si="277"/>
        <v>10</v>
      </c>
      <c r="B915" t="str">
        <f t="shared" si="280"/>
        <v>25</v>
      </c>
      <c r="C915" s="1">
        <v>45608</v>
      </c>
      <c r="D915" t="str">
        <f>CLEAN("7881-05-73")</f>
        <v>7881-05-73</v>
      </c>
      <c r="E915" t="str">
        <f>CLEAN("206  ")</f>
        <v xml:space="preserve">206  </v>
      </c>
      <c r="F915" t="str">
        <f>CLEAN("$1,000,000 - $1,999,999  ")</f>
        <v xml:space="preserve">$1,000,000 - $1,999,999  </v>
      </c>
      <c r="G915" t="str">
        <f t="shared" si="282"/>
        <v>LET</v>
      </c>
      <c r="H915" t="str">
        <f t="shared" si="283"/>
        <v xml:space="preserve">LET CONSTRUCTION         </v>
      </c>
      <c r="I915" t="str">
        <f>CLEAN("CONSTRUCTION/RECONDITION           ")</f>
        <v xml:space="preserve">CONSTRUCTION/RECONDITION           </v>
      </c>
      <c r="J915" t="str">
        <f>CLEAN("CTH D  ")</f>
        <v xml:space="preserve">CTH D  </v>
      </c>
      <c r="K915" t="str">
        <f>CLEAN("DUNN                          ")</f>
        <v xml:space="preserve">DUNN                          </v>
      </c>
      <c r="L915" t="str">
        <f>CLEAN("SCL - STH 25                       ")</f>
        <v xml:space="preserve">SCL - STH 25                       </v>
      </c>
      <c r="M915" t="str">
        <f>CLEAN("CTH K TO 420TH STREET              ")</f>
        <v xml:space="preserve">CTH K TO 420TH STREET              </v>
      </c>
      <c r="N915">
        <v>1.56</v>
      </c>
      <c r="O915" t="str">
        <f t="shared" ref="O915:O930" si="286">CLEAN("          ")</f>
        <v xml:space="preserve">          </v>
      </c>
      <c r="P91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16" spans="1:16" x14ac:dyDescent="0.25">
      <c r="A916" t="str">
        <f t="shared" si="277"/>
        <v>10</v>
      </c>
      <c r="B916" t="str">
        <f t="shared" si="280"/>
        <v>25</v>
      </c>
      <c r="C916" s="1">
        <v>45468</v>
      </c>
      <c r="D916" t="str">
        <f>CLEAN("7893-00-50")</f>
        <v>7893-00-50</v>
      </c>
      <c r="E916" t="str">
        <f>CLEAN("207  ")</f>
        <v xml:space="preserve">207  </v>
      </c>
      <c r="F916" t="str">
        <f>CLEAN("$250,000 - $499,999      ")</f>
        <v xml:space="preserve">$250,000 - $499,999      </v>
      </c>
      <c r="G916" t="str">
        <f>CLEAN("R/R")</f>
        <v>R/R</v>
      </c>
      <c r="H916" t="str">
        <f>CLEAN("NONLET CONSTR/REAL ESTATE")</f>
        <v>NONLET CONSTR/REAL ESTATE</v>
      </c>
      <c r="I916" t="str">
        <f>CLEAN("R/R OPS/SAFETY RAIL WARNING DEVICES")</f>
        <v>R/R OPS/SAFETY RAIL WARNING DEVICES</v>
      </c>
      <c r="J916" t="str">
        <f>CLEAN("LOC STR")</f>
        <v>LOC STR</v>
      </c>
      <c r="K916" t="str">
        <f>CLEAN("PIERCE                        ")</f>
        <v xml:space="preserve">PIERCE                        </v>
      </c>
      <c r="L916" t="str">
        <f>CLEAN("T DIAMOND BLUFF, LOWER RIVER ROAD  ")</f>
        <v xml:space="preserve">T DIAMOND BLUFF, LOWER RIVER ROAD  </v>
      </c>
      <c r="M916" t="str">
        <f>CLEAN("BNSF RR XING 080030K               ")</f>
        <v xml:space="preserve">BNSF RR XING 080030K               </v>
      </c>
      <c r="N916">
        <v>0</v>
      </c>
      <c r="O916" t="str">
        <f t="shared" si="286"/>
        <v xml:space="preserve">          </v>
      </c>
      <c r="P916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917" spans="1:16" x14ac:dyDescent="0.25">
      <c r="A917" t="str">
        <f t="shared" si="277"/>
        <v>10</v>
      </c>
      <c r="B917" t="str">
        <f t="shared" si="280"/>
        <v>25</v>
      </c>
      <c r="C917" s="1">
        <v>45621</v>
      </c>
      <c r="D917" t="str">
        <f>CLEAN("7905-00-21")</f>
        <v>7905-00-21</v>
      </c>
      <c r="E917" t="str">
        <f>CLEAN("303  ")</f>
        <v xml:space="preserve">303  </v>
      </c>
      <c r="F917" t="str">
        <f>CLEAN("$0 - $99,999             ")</f>
        <v xml:space="preserve">$0 - $99,999             </v>
      </c>
      <c r="G917" t="str">
        <f>CLEAN("R/E")</f>
        <v>R/E</v>
      </c>
      <c r="H917" t="str">
        <f>CLEAN("NONLET CONSTR/REAL ESTATE")</f>
        <v>NONLET CONSTR/REAL ESTATE</v>
      </c>
      <c r="I917" t="str">
        <f>CLEAN("REAL ESTATE ACQUISITION            ")</f>
        <v xml:space="preserve">REAL ESTATE ACQUISITION            </v>
      </c>
      <c r="J917" t="str">
        <f>CLEAN("USH 053")</f>
        <v>USH 053</v>
      </c>
      <c r="K917" t="str">
        <f>CLEAN("EAU CLAIRE                    ")</f>
        <v xml:space="preserve">EAU CLAIRE                    </v>
      </c>
      <c r="L917" t="str">
        <f>CLEAN("OSSEO - EAU CLAIRE                 ")</f>
        <v xml:space="preserve">OSSEO - EAU CLAIRE                 </v>
      </c>
      <c r="M917" t="str">
        <f>CLEAN("USH 10 W TO OLD TOWN HALL ROAD     ")</f>
        <v xml:space="preserve">USH 10 W TO OLD TOWN HALL ROAD     </v>
      </c>
      <c r="N917">
        <v>15.414999999999999</v>
      </c>
      <c r="O917" t="str">
        <f t="shared" si="286"/>
        <v xml:space="preserve">          </v>
      </c>
      <c r="P9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18" spans="1:16" x14ac:dyDescent="0.25">
      <c r="A918" t="str">
        <f t="shared" si="277"/>
        <v>10</v>
      </c>
      <c r="B918" t="str">
        <f>CLEAN("21")</f>
        <v>21</v>
      </c>
      <c r="C918" s="1">
        <v>45272</v>
      </c>
      <c r="D918" t="str">
        <f>CLEAN("7930-08-71")</f>
        <v>7930-08-71</v>
      </c>
      <c r="E918" t="str">
        <f>CLEAN("303  ")</f>
        <v xml:space="preserve">303  </v>
      </c>
      <c r="F918" t="str">
        <f>CLEAN("$3,000,000 - $3,999,999  ")</f>
        <v xml:space="preserve">$3,000,000 - $3,999,999  </v>
      </c>
      <c r="G918" t="str">
        <f>CLEAN("LET")</f>
        <v>LET</v>
      </c>
      <c r="H918" t="str">
        <f>CLEAN("LET CONSTRUCTION         ")</f>
        <v xml:space="preserve">LET CONSTRUCTION         </v>
      </c>
      <c r="I918" t="str">
        <f>CLEAN("CONST/MILL &amp; O'LAY/B-32-181/RSRF   ")</f>
        <v xml:space="preserve">CONST/MILL &amp; O'LAY/B-32-181/RSRF   </v>
      </c>
      <c r="J918" t="str">
        <f>CLEAN("STH 108")</f>
        <v>STH 108</v>
      </c>
      <c r="K918" t="str">
        <f>CLEAN("LA CROSSE                     ")</f>
        <v xml:space="preserve">LA CROSSE                     </v>
      </c>
      <c r="L918" t="str">
        <f>CLEAN("WEST SALEM - MELROSE               ")</f>
        <v xml:space="preserve">WEST SALEM - MELROSE               </v>
      </c>
      <c r="M918" t="str">
        <f>CLEAN("OLD 16 ROAD TO NORTH COUNTY LINE   ")</f>
        <v xml:space="preserve">OLD 16 ROAD TO NORTH COUNTY LINE   </v>
      </c>
      <c r="N918">
        <v>7.8140000000000001</v>
      </c>
      <c r="O918" t="str">
        <f t="shared" si="286"/>
        <v xml:space="preserve">          </v>
      </c>
      <c r="P91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919" spans="1:16" x14ac:dyDescent="0.25">
      <c r="A919" t="str">
        <f t="shared" si="277"/>
        <v>10</v>
      </c>
      <c r="B919" t="str">
        <f>CLEAN("21")</f>
        <v>21</v>
      </c>
      <c r="C919" s="1">
        <v>45272</v>
      </c>
      <c r="D919" t="str">
        <f>CLEAN("7930-08-71")</f>
        <v>7930-08-71</v>
      </c>
      <c r="E919" t="str">
        <f>CLEAN("303  ")</f>
        <v xml:space="preserve">303  </v>
      </c>
      <c r="F919" t="str">
        <f>CLEAN("$3,000,000 - $3,999,999  ")</f>
        <v xml:space="preserve">$3,000,000 - $3,999,999  </v>
      </c>
      <c r="G919" t="str">
        <f>CLEAN("LET")</f>
        <v>LET</v>
      </c>
      <c r="H919" t="str">
        <f>CLEAN("LET CONSTRUCTION         ")</f>
        <v xml:space="preserve">LET CONSTRUCTION         </v>
      </c>
      <c r="I919" t="str">
        <f>CLEAN("CONST/MILL &amp; O'LAY/B-32-181/RSRF   ")</f>
        <v xml:space="preserve">CONST/MILL &amp; O'LAY/B-32-181/RSRF   </v>
      </c>
      <c r="J919" t="str">
        <f>CLEAN("STH 108")</f>
        <v>STH 108</v>
      </c>
      <c r="K919" t="str">
        <f>CLEAN("LA CROSSE                     ")</f>
        <v xml:space="preserve">LA CROSSE                     </v>
      </c>
      <c r="L919" t="str">
        <f>CLEAN("WEST SALEM - MELROSE               ")</f>
        <v xml:space="preserve">WEST SALEM - MELROSE               </v>
      </c>
      <c r="M919" t="str">
        <f>CLEAN("OLD 16 ROAD TO NORTH COUNTY LINE   ")</f>
        <v xml:space="preserve">OLD 16 ROAD TO NORTH COUNTY LINE   </v>
      </c>
      <c r="N919">
        <v>7.8140000000000001</v>
      </c>
      <c r="O919" t="str">
        <f t="shared" si="286"/>
        <v xml:space="preserve">          </v>
      </c>
      <c r="P91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0" spans="1:16" x14ac:dyDescent="0.25">
      <c r="A920" t="str">
        <f t="shared" si="277"/>
        <v>10</v>
      </c>
      <c r="B920" t="str">
        <f t="shared" ref="B920:B951" si="287">CLEAN("25")</f>
        <v>25</v>
      </c>
      <c r="C920" s="1">
        <v>45426</v>
      </c>
      <c r="D920" t="str">
        <f>CLEAN("7994-00-51")</f>
        <v>7994-00-51</v>
      </c>
      <c r="E920" t="str">
        <f>CLEAN("206  ")</f>
        <v xml:space="preserve">206  </v>
      </c>
      <c r="F920" t="str">
        <f>CLEAN("$3,000,000 - $3,999,999  ")</f>
        <v xml:space="preserve">$3,000,000 - $3,999,999  </v>
      </c>
      <c r="G920" t="str">
        <f>CLEAN("LET")</f>
        <v>LET</v>
      </c>
      <c r="H920" t="str">
        <f>CLEAN("LET CONSTRUCTION         ")</f>
        <v xml:space="preserve">LET CONSTRUCTION         </v>
      </c>
      <c r="I920" t="str">
        <f>CLEAN("CONSTRUCTION/RECONSTRUCT           ")</f>
        <v xml:space="preserve">CONSTRUCTION/RECONSTRUCT           </v>
      </c>
      <c r="J920" t="str">
        <f>CLEAN("LOC STR")</f>
        <v>LOC STR</v>
      </c>
      <c r="K920" t="str">
        <f>CLEAN("PIERCE                        ")</f>
        <v xml:space="preserve">PIERCE                        </v>
      </c>
      <c r="L920" t="str">
        <f>CLEAN("C RIVER FALLS, S WASSON LANE       ")</f>
        <v xml:space="preserve">C RIVER FALLS, S WASSON LANE       </v>
      </c>
      <c r="M920" t="str">
        <f>CLEAN("830TH AVE TO E CASCADE AVE         ")</f>
        <v xml:space="preserve">830TH AVE TO E CASCADE AVE         </v>
      </c>
      <c r="N920">
        <v>0.71</v>
      </c>
      <c r="O920" t="str">
        <f t="shared" si="286"/>
        <v xml:space="preserve">          </v>
      </c>
      <c r="P920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21" spans="1:16" x14ac:dyDescent="0.25">
      <c r="A921" t="str">
        <f t="shared" si="277"/>
        <v>10</v>
      </c>
      <c r="B921" t="str">
        <f t="shared" si="287"/>
        <v>25</v>
      </c>
      <c r="C921" s="1">
        <v>45347</v>
      </c>
      <c r="D921" t="str">
        <f>CLEAN("7995-02-20")</f>
        <v>7995-02-20</v>
      </c>
      <c r="E921" t="str">
        <f>CLEAN("303  ")</f>
        <v xml:space="preserve">303  </v>
      </c>
      <c r="F921" t="str">
        <f>CLEAN("$0 - $99,999             ")</f>
        <v xml:space="preserve">$0 - $99,999             </v>
      </c>
      <c r="G921" t="str">
        <f>CLEAN("R/E")</f>
        <v>R/E</v>
      </c>
      <c r="H921" t="str">
        <f>CLEAN("NONLET CONSTR/REAL ESTATE")</f>
        <v>NONLET CONSTR/REAL ESTATE</v>
      </c>
      <c r="I921" t="str">
        <f>CLEAN("REAL ESTATE ACQUISITION/7995-02-72 ")</f>
        <v xml:space="preserve">REAL ESTATE ACQUISITION/7995-02-72 </v>
      </c>
      <c r="J921" t="str">
        <f>CLEAN("LOC STR")</f>
        <v>LOC STR</v>
      </c>
      <c r="K921" t="str">
        <f>CLEAN("EAU CLAIRE                    ")</f>
        <v xml:space="preserve">EAU CLAIRE                    </v>
      </c>
      <c r="L921" t="str">
        <f>CLEAN("C EAU CLAIRE, VARIOUS HIGHWAYS     ")</f>
        <v xml:space="preserve">C EAU CLAIRE, VARIOUS HIGHWAYS     </v>
      </c>
      <c r="M921" t="str">
        <f>CLEAN("STH 93, 312 &amp; USH 12 CURB RAMPS    ")</f>
        <v xml:space="preserve">STH 93, 312 &amp; USH 12 CURB RAMPS    </v>
      </c>
      <c r="N921">
        <v>0</v>
      </c>
      <c r="O921" t="str">
        <f t="shared" si="286"/>
        <v xml:space="preserve">          </v>
      </c>
      <c r="P921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922" spans="1:16" x14ac:dyDescent="0.25">
      <c r="A922" t="str">
        <f t="shared" si="277"/>
        <v>10</v>
      </c>
      <c r="B922" t="str">
        <f t="shared" si="287"/>
        <v>25</v>
      </c>
      <c r="C922" s="1">
        <v>45272</v>
      </c>
      <c r="D922" t="str">
        <f>CLEAN("7995-02-59")</f>
        <v>7995-02-59</v>
      </c>
      <c r="E922" t="str">
        <f>CLEAN("206  ")</f>
        <v xml:space="preserve">206  </v>
      </c>
      <c r="F922" t="str">
        <f>CLEAN("$3,000,000 - $3,999,999  ")</f>
        <v xml:space="preserve">$3,000,000 - $3,999,999  </v>
      </c>
      <c r="G922" t="str">
        <f>CLEAN("LET")</f>
        <v>LET</v>
      </c>
      <c r="H922" t="str">
        <f>CLEAN("LET CONSTRUCTION         ")</f>
        <v xml:space="preserve">LET CONSTRUCTION         </v>
      </c>
      <c r="I922" t="str">
        <f>CLEAN("CONSTRUCTION/RECST                 ")</f>
        <v xml:space="preserve">CONSTRUCTION/RECST                 </v>
      </c>
      <c r="J922" t="str">
        <f>CLEAN("LOC STR")</f>
        <v>LOC STR</v>
      </c>
      <c r="K922" t="str">
        <f>CLEAN("EAU CLAIRE                    ")</f>
        <v xml:space="preserve">EAU CLAIRE                    </v>
      </c>
      <c r="L922" t="str">
        <f>CLEAN("C EAU CLAIRE, FAIRFAX STREET       ")</f>
        <v xml:space="preserve">C EAU CLAIRE, FAIRFAX STREET       </v>
      </c>
      <c r="M922" t="str">
        <f>CLEAN("S HASTINGS WAY TO SPOONER AVENUE   ")</f>
        <v xml:space="preserve">S HASTINGS WAY TO SPOONER AVENUE   </v>
      </c>
      <c r="N922">
        <v>0.434</v>
      </c>
      <c r="O922" t="str">
        <f t="shared" si="286"/>
        <v xml:space="preserve">          </v>
      </c>
      <c r="P922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23" spans="1:16" x14ac:dyDescent="0.25">
      <c r="A923" t="str">
        <f t="shared" si="277"/>
        <v>10</v>
      </c>
      <c r="B923" t="str">
        <f t="shared" si="287"/>
        <v>25</v>
      </c>
      <c r="C923" s="1">
        <v>45363</v>
      </c>
      <c r="D923" t="str">
        <f>CLEAN("7995-02-63")</f>
        <v>7995-02-63</v>
      </c>
      <c r="E923" t="str">
        <f>CLEAN("206  ")</f>
        <v xml:space="preserve">206  </v>
      </c>
      <c r="F923" t="str">
        <f>CLEAN("$4,000,000 - $4,999,999  ")</f>
        <v xml:space="preserve">$4,000,000 - $4,999,999  </v>
      </c>
      <c r="G923" t="str">
        <f>CLEAN("LET")</f>
        <v>LET</v>
      </c>
      <c r="H923" t="str">
        <f>CLEAN("LET CONSTRUCTION         ")</f>
        <v xml:space="preserve">LET CONSTRUCTION         </v>
      </c>
      <c r="I923" t="str">
        <f>CLEAN("CONSTRUCTION/RECONSTRUCT           ")</f>
        <v xml:space="preserve">CONSTRUCTION/RECONSTRUCT           </v>
      </c>
      <c r="J923" t="str">
        <f>CLEAN("CTH F  ")</f>
        <v xml:space="preserve">CTH F  </v>
      </c>
      <c r="K923" t="str">
        <f>CLEAN("EAU CLAIRE                    ")</f>
        <v xml:space="preserve">EAU CLAIRE                    </v>
      </c>
      <c r="L923" t="str">
        <f>CLEAN("C EAU CLAIRE, STATE ST/CTH F       ")</f>
        <v xml:space="preserve">C EAU CLAIRE, STATE ST/CTH F       </v>
      </c>
      <c r="M923" t="str">
        <f>CLEAN("HEATHER ROAD TO HAMILTON AVE       ")</f>
        <v xml:space="preserve">HEATHER ROAD TO HAMILTON AVE       </v>
      </c>
      <c r="N923">
        <v>0.63700000000000001</v>
      </c>
      <c r="O923" t="str">
        <f t="shared" si="286"/>
        <v xml:space="preserve">          </v>
      </c>
      <c r="P923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24" spans="1:16" x14ac:dyDescent="0.25">
      <c r="A924" t="str">
        <f t="shared" si="277"/>
        <v>10</v>
      </c>
      <c r="B924" t="str">
        <f t="shared" si="287"/>
        <v>25</v>
      </c>
      <c r="C924" s="1">
        <v>45285</v>
      </c>
      <c r="D924" t="str">
        <f>CLEAN("7995-02-69")</f>
        <v>7995-02-69</v>
      </c>
      <c r="E924" t="str">
        <f>CLEAN("290  ")</f>
        <v xml:space="preserve">290  </v>
      </c>
      <c r="F924" t="str">
        <f>CLEAN("$500,000 - $749,999      ")</f>
        <v xml:space="preserve">$500,000 - $749,999      </v>
      </c>
      <c r="G924" t="str">
        <f>CLEAN("LLC")</f>
        <v>LLC</v>
      </c>
      <c r="H924" t="str">
        <f t="shared" ref="H924:H929" si="288">CLEAN("NONLET CONSTR/REAL ESTATE")</f>
        <v>NONLET CONSTR/REAL ESTATE</v>
      </c>
      <c r="I924" t="str">
        <f>CLEAN("CONSTRUCTION/TAP/BIKE PED TRAIL    ")</f>
        <v xml:space="preserve">CONSTRUCTION/TAP/BIKE PED TRAIL    </v>
      </c>
      <c r="J924" t="str">
        <f>CLEAN("OFF SYS")</f>
        <v>OFF SYS</v>
      </c>
      <c r="K924" t="str">
        <f>CLEAN("EAU CLAIRE                    ")</f>
        <v xml:space="preserve">EAU CLAIRE                    </v>
      </c>
      <c r="L924" t="str">
        <f>CLEAN("C EAU CLAIRE, HALF MOON TRAIL      ")</f>
        <v xml:space="preserve">C EAU CLAIRE, HALF MOON TRAIL      </v>
      </c>
      <c r="M924" t="str">
        <f>CLEAN("MADISON STREET TO FOLSOM STREET    ")</f>
        <v xml:space="preserve">MADISON STREET TO FOLSOM STREET    </v>
      </c>
      <c r="N924">
        <v>0</v>
      </c>
      <c r="O924" t="str">
        <f t="shared" si="286"/>
        <v xml:space="preserve">          </v>
      </c>
      <c r="P924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925" spans="1:16" x14ac:dyDescent="0.25">
      <c r="A925" t="str">
        <f t="shared" si="277"/>
        <v>10</v>
      </c>
      <c r="B925" t="str">
        <f t="shared" si="287"/>
        <v>25</v>
      </c>
      <c r="C925" s="1">
        <v>45316</v>
      </c>
      <c r="D925" t="str">
        <f>CLEAN("7995-02-82")</f>
        <v>7995-02-82</v>
      </c>
      <c r="E925" t="str">
        <f>CLEAN("206  ")</f>
        <v xml:space="preserve">206  </v>
      </c>
      <c r="F925" t="str">
        <f>CLEAN("$100,000-$249,999        ")</f>
        <v xml:space="preserve">$100,000-$249,999        </v>
      </c>
      <c r="G925" t="str">
        <f>CLEAN("LFA")</f>
        <v>LFA</v>
      </c>
      <c r="H925" t="str">
        <f t="shared" si="288"/>
        <v>NONLET CONSTR/REAL ESTATE</v>
      </c>
      <c r="I925" t="str">
        <f>CLEAN("CONST/CARBON RED-LED LIGHTING      ")</f>
        <v xml:space="preserve">CONST/CARBON RED-LED LIGHTING      </v>
      </c>
      <c r="J925" t="str">
        <f>CLEAN("OFF SYS")</f>
        <v>OFF SYS</v>
      </c>
      <c r="K925" t="str">
        <f>CLEAN("EAU CLAIRE                    ")</f>
        <v xml:space="preserve">EAU CLAIRE                    </v>
      </c>
      <c r="L925" t="str">
        <f>CLEAN("C EAU CLAIRE, VARIOUS STREETS      ")</f>
        <v xml:space="preserve">C EAU CLAIRE, VARIOUS STREETS      </v>
      </c>
      <c r="M925" t="str">
        <f>CLEAN("MULTIPLE LOCATIONS LED LIGHTING    ")</f>
        <v xml:space="preserve">MULTIPLE LOCATIONS LED LIGHTING    </v>
      </c>
      <c r="N925">
        <v>0</v>
      </c>
      <c r="O925" t="str">
        <f t="shared" si="286"/>
        <v xml:space="preserve">          </v>
      </c>
      <c r="P925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926" spans="1:16" x14ac:dyDescent="0.25">
      <c r="A926" t="str">
        <f t="shared" si="277"/>
        <v>10</v>
      </c>
      <c r="B926" t="str">
        <f t="shared" si="287"/>
        <v>25</v>
      </c>
      <c r="C926" s="1">
        <v>45621</v>
      </c>
      <c r="D926" t="str">
        <f>CLEAN("8010-00-24")</f>
        <v>8010-00-24</v>
      </c>
      <c r="E926" t="str">
        <f>CLEAN("303  ")</f>
        <v xml:space="preserve">303  </v>
      </c>
      <c r="F926" t="str">
        <f>CLEAN("$0 - $99,999             ")</f>
        <v xml:space="preserve">$0 - $99,999             </v>
      </c>
      <c r="G926" t="str">
        <f>CLEAN("R/E")</f>
        <v>R/E</v>
      </c>
      <c r="H926" t="str">
        <f t="shared" si="288"/>
        <v>NONLET CONSTR/REAL ESTATE</v>
      </c>
      <c r="I926" t="str">
        <f>CLEAN("REAL ESTATE ACQUISITION            ")</f>
        <v xml:space="preserve">REAL ESTATE ACQUISITION            </v>
      </c>
      <c r="J926" t="str">
        <f>CLEAN("STH 035")</f>
        <v>STH 035</v>
      </c>
      <c r="K926" t="str">
        <f>CLEAN("BURNETT                       ")</f>
        <v xml:space="preserve">BURNETT                       </v>
      </c>
      <c r="L926" t="str">
        <f>CLEAN("SIREN - DANBURY                    ")</f>
        <v xml:space="preserve">SIREN - DANBURY                    </v>
      </c>
      <c r="M926" t="str">
        <f>CLEAN("CTH K S TO YELLOW RVR BR B-07-0019 ")</f>
        <v xml:space="preserve">CTH K S TO YELLOW RVR BR B-07-0019 </v>
      </c>
      <c r="N926">
        <v>5.1550000000000002</v>
      </c>
      <c r="O926" t="str">
        <f t="shared" si="286"/>
        <v xml:space="preserve">          </v>
      </c>
      <c r="P92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7" spans="1:16" x14ac:dyDescent="0.25">
      <c r="A927" t="str">
        <f t="shared" si="277"/>
        <v>10</v>
      </c>
      <c r="B927" t="str">
        <f t="shared" si="287"/>
        <v>25</v>
      </c>
      <c r="C927" s="1">
        <v>45316</v>
      </c>
      <c r="D927" t="str">
        <f>CLEAN("8010-01-20")</f>
        <v>8010-01-20</v>
      </c>
      <c r="E927" t="str">
        <f>CLEAN("303  ")</f>
        <v xml:space="preserve">303  </v>
      </c>
      <c r="F927" t="str">
        <f>CLEAN("$0 - $99,999             ")</f>
        <v xml:space="preserve">$0 - $99,999             </v>
      </c>
      <c r="G927" t="str">
        <f>CLEAN("R/E")</f>
        <v>R/E</v>
      </c>
      <c r="H927" t="str">
        <f t="shared" si="288"/>
        <v>NONLET CONSTR/REAL ESTATE</v>
      </c>
      <c r="I927" t="str">
        <f>CLEAN("REAL ESTATE ACQUISITION            ")</f>
        <v xml:space="preserve">REAL ESTATE ACQUISITION            </v>
      </c>
      <c r="J927" t="str">
        <f>CLEAN("STH 035")</f>
        <v>STH 035</v>
      </c>
      <c r="K927" t="str">
        <f>CLEAN("BURNETT                       ")</f>
        <v xml:space="preserve">BURNETT                       </v>
      </c>
      <c r="L927" t="str">
        <f>CLEAN("SIREN - DANBURY                    ")</f>
        <v xml:space="preserve">SIREN - DANBURY                    </v>
      </c>
      <c r="M927" t="str">
        <f>CLEAN("LANQUIST ST TO STH 70 E            ")</f>
        <v xml:space="preserve">LANQUIST ST TO STH 70 E            </v>
      </c>
      <c r="N927">
        <v>2.56</v>
      </c>
      <c r="O927" t="str">
        <f t="shared" si="286"/>
        <v xml:space="preserve">          </v>
      </c>
      <c r="P9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8" spans="1:16" x14ac:dyDescent="0.25">
      <c r="A928" t="str">
        <f t="shared" si="277"/>
        <v>10</v>
      </c>
      <c r="B928" t="str">
        <f t="shared" si="287"/>
        <v>25</v>
      </c>
      <c r="C928" s="1">
        <v>45621</v>
      </c>
      <c r="D928" t="str">
        <f>CLEAN("8010-01-24")</f>
        <v>8010-01-24</v>
      </c>
      <c r="E928" t="str">
        <f>CLEAN("303  ")</f>
        <v xml:space="preserve">303  </v>
      </c>
      <c r="F928" t="str">
        <f>CLEAN("$0 - $99,999             ")</f>
        <v xml:space="preserve">$0 - $99,999             </v>
      </c>
      <c r="G928" t="str">
        <f>CLEAN("R/E")</f>
        <v>R/E</v>
      </c>
      <c r="H928" t="str">
        <f t="shared" si="288"/>
        <v>NONLET CONSTR/REAL ESTATE</v>
      </c>
      <c r="I928" t="str">
        <f>CLEAN("REAL ESTATE ACQ/CURB RAMP UPGRADES ")</f>
        <v xml:space="preserve">REAL ESTATE ACQ/CURB RAMP UPGRADES </v>
      </c>
      <c r="J928" t="str">
        <f>CLEAN("STH 035")</f>
        <v>STH 035</v>
      </c>
      <c r="K928" t="str">
        <f>CLEAN("POLK                          ")</f>
        <v xml:space="preserve">POLK                          </v>
      </c>
      <c r="L928" t="str">
        <f>CLEAN("LUCK - SIREN                       ")</f>
        <v xml:space="preserve">LUCK - SIREN                       </v>
      </c>
      <c r="M928" t="str">
        <f>CLEAN("STH 48 E TO POLK STREET            ")</f>
        <v xml:space="preserve">STH 48 E TO POLK STREET            </v>
      </c>
      <c r="N928">
        <v>2.04</v>
      </c>
      <c r="O928" t="str">
        <f t="shared" si="286"/>
        <v xml:space="preserve">          </v>
      </c>
      <c r="P92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9" spans="1:16" x14ac:dyDescent="0.25">
      <c r="A929" t="str">
        <f t="shared" si="277"/>
        <v>10</v>
      </c>
      <c r="B929" t="str">
        <f t="shared" si="287"/>
        <v>25</v>
      </c>
      <c r="C929" s="1">
        <v>45285</v>
      </c>
      <c r="D929" t="str">
        <f>CLEAN("8080-00-72")</f>
        <v>8080-00-72</v>
      </c>
      <c r="E929" t="str">
        <f>CLEAN("290  ")</f>
        <v xml:space="preserve">290  </v>
      </c>
      <c r="F929" t="str">
        <f>CLEAN("$250,000 - $499,999      ")</f>
        <v xml:space="preserve">$250,000 - $499,999      </v>
      </c>
      <c r="G929" t="str">
        <f>CLEAN("LLC")</f>
        <v>LLC</v>
      </c>
      <c r="H929" t="str">
        <f t="shared" si="288"/>
        <v>NONLET CONSTR/REAL ESTATE</v>
      </c>
      <c r="I929" t="str">
        <f>CLEAN("CONSTR/TAP/BIKE PED TRAIL          ")</f>
        <v xml:space="preserve">CONSTR/TAP/BIKE PED TRAIL          </v>
      </c>
      <c r="J929" t="str">
        <f>CLEAN("OFF SYS")</f>
        <v>OFF SYS</v>
      </c>
      <c r="K929" t="str">
        <f>CLEAN("ST. CROIX                     ")</f>
        <v xml:space="preserve">ST. CROIX                     </v>
      </c>
      <c r="L929" t="str">
        <f>CLEAN("ST CROIX COUNTY, HWY 35 TRAIL      ")</f>
        <v xml:space="preserve">ST CROIX COUNTY, HWY 35 TRAIL      </v>
      </c>
      <c r="M929" t="str">
        <f>CLEAN("NORTH END ROAD TO OLD HWY 35       ")</f>
        <v xml:space="preserve">NORTH END ROAD TO OLD HWY 35       </v>
      </c>
      <c r="N929">
        <v>0</v>
      </c>
      <c r="O929" t="str">
        <f t="shared" si="286"/>
        <v xml:space="preserve">          </v>
      </c>
      <c r="P929" t="str">
        <f>CLEAN("BICYCLE AND PEDESTRIAN FACILITIES                                                                   ")</f>
        <v xml:space="preserve">BICYCLE AND PEDESTRIAN FACILITIES                                                                   </v>
      </c>
    </row>
    <row r="930" spans="1:16" x14ac:dyDescent="0.25">
      <c r="A930" t="str">
        <f t="shared" si="277"/>
        <v>10</v>
      </c>
      <c r="B930" t="str">
        <f t="shared" si="287"/>
        <v>25</v>
      </c>
      <c r="C930" s="1">
        <v>45636</v>
      </c>
      <c r="D930" t="str">
        <f>CLEAN("8110-01-78")</f>
        <v>8110-01-78</v>
      </c>
      <c r="E930" t="str">
        <f t="shared" ref="E930:E940" si="289">CLEAN("303  ")</f>
        <v xml:space="preserve">303  </v>
      </c>
      <c r="F930" t="str">
        <f>CLEAN("$3,000,000 - $3,999,999  ")</f>
        <v xml:space="preserve">$3,000,000 - $3,999,999  </v>
      </c>
      <c r="G930" t="str">
        <f>CLEAN("LET")</f>
        <v>LET</v>
      </c>
      <c r="H930" t="str">
        <f>CLEAN("LET CONSTRUCTION         ")</f>
        <v xml:space="preserve">LET CONSTRUCTION         </v>
      </c>
      <c r="I930" t="str">
        <f>CLEAN("CONSTRUCTION/RESURFACE             ")</f>
        <v xml:space="preserve">CONSTRUCTION/RESURFACE             </v>
      </c>
      <c r="J930" t="str">
        <f>CLEAN("STH 064")</f>
        <v>STH 064</v>
      </c>
      <c r="K930" t="str">
        <f>CLEAN("DUNN                          ")</f>
        <v xml:space="preserve">DUNN                          </v>
      </c>
      <c r="L930" t="str">
        <f>CLEAN("CONNORSVILLE - BLOOMER             ")</f>
        <v xml:space="preserve">CONNORSVILLE - BLOOMER             </v>
      </c>
      <c r="M930" t="str">
        <f>CLEAN("CTH O TO NORTH JCT CTH W           ")</f>
        <v xml:space="preserve">CTH O TO NORTH JCT CTH W           </v>
      </c>
      <c r="N930">
        <v>12.39</v>
      </c>
      <c r="O930" t="str">
        <f t="shared" si="286"/>
        <v xml:space="preserve">          </v>
      </c>
      <c r="P93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1" spans="1:16" x14ac:dyDescent="0.25">
      <c r="A931" t="str">
        <f t="shared" si="277"/>
        <v>10</v>
      </c>
      <c r="B931" t="str">
        <f t="shared" si="287"/>
        <v>25</v>
      </c>
      <c r="C931" s="1">
        <v>45335</v>
      </c>
      <c r="D931" t="str">
        <f>CLEAN("8120-02-66")</f>
        <v>8120-02-66</v>
      </c>
      <c r="E931" t="str">
        <f t="shared" si="289"/>
        <v xml:space="preserve">303  </v>
      </c>
      <c r="F931" t="str">
        <f>CLEAN("$250,000 - $499,999      ")</f>
        <v xml:space="preserve">$250,000 - $499,999      </v>
      </c>
      <c r="G931" t="str">
        <f>CLEAN("LET")</f>
        <v>LET</v>
      </c>
      <c r="H931" t="str">
        <f>CLEAN("LET CONSTRUCTION         ")</f>
        <v xml:space="preserve">LET CONSTRUCTION         </v>
      </c>
      <c r="I931" t="str">
        <f>CLEAN("CONS/SFTY/WIDN PAVD SHLDR/RUMBLSTRP")</f>
        <v>CONS/SFTY/WIDN PAVD SHLDR/RUMBLSTRP</v>
      </c>
      <c r="J931" t="str">
        <f>CLEAN("STH 048")</f>
        <v>STH 048</v>
      </c>
      <c r="K931" t="str">
        <f>CLEAN("BARRON                        ")</f>
        <v xml:space="preserve">BARRON                        </v>
      </c>
      <c r="L931" t="str">
        <f>CLEAN("MCKINLEY - RICE LAKE               ")</f>
        <v xml:space="preserve">MCKINLEY - RICE LAKE               </v>
      </c>
      <c r="M931" t="str">
        <f>CLEAN("USH 63 NORTH TO STH 25             ")</f>
        <v xml:space="preserve">USH 63 NORTH TO STH 25             </v>
      </c>
      <c r="N931">
        <v>9.1720000000000006</v>
      </c>
      <c r="O931" t="str">
        <f>CLEAN("8120-02-76")</f>
        <v>8120-02-76</v>
      </c>
      <c r="P93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932" spans="1:16" x14ac:dyDescent="0.25">
      <c r="A932" t="str">
        <f t="shared" si="277"/>
        <v>10</v>
      </c>
      <c r="B932" t="str">
        <f t="shared" si="287"/>
        <v>25</v>
      </c>
      <c r="C932" s="1">
        <v>45335</v>
      </c>
      <c r="D932" t="str">
        <f>CLEAN("8120-02-66")</f>
        <v>8120-02-66</v>
      </c>
      <c r="E932" t="str">
        <f t="shared" si="289"/>
        <v xml:space="preserve">303  </v>
      </c>
      <c r="F932" t="str">
        <f>CLEAN("$250,000 - $499,999      ")</f>
        <v xml:space="preserve">$250,000 - $499,999      </v>
      </c>
      <c r="G932" t="str">
        <f>CLEAN("LET")</f>
        <v>LET</v>
      </c>
      <c r="H932" t="str">
        <f>CLEAN("LET CONSTRUCTION         ")</f>
        <v xml:space="preserve">LET CONSTRUCTION         </v>
      </c>
      <c r="I932" t="str">
        <f>CLEAN("CONS/SFTY/WIDN PAVD SHLDR/RUMBLSTRP")</f>
        <v>CONS/SFTY/WIDN PAVD SHLDR/RUMBLSTRP</v>
      </c>
      <c r="J932" t="str">
        <f>CLEAN("STH 048")</f>
        <v>STH 048</v>
      </c>
      <c r="K932" t="str">
        <f>CLEAN("BARRON                        ")</f>
        <v xml:space="preserve">BARRON                        </v>
      </c>
      <c r="L932" t="str">
        <f>CLEAN("MCKINLEY - RICE LAKE               ")</f>
        <v xml:space="preserve">MCKINLEY - RICE LAKE               </v>
      </c>
      <c r="M932" t="str">
        <f>CLEAN("USH 63 NORTH TO STH 25             ")</f>
        <v xml:space="preserve">USH 63 NORTH TO STH 25             </v>
      </c>
      <c r="N932">
        <v>9.1720000000000006</v>
      </c>
      <c r="O932" t="str">
        <f>CLEAN("8120-02-76")</f>
        <v>8120-02-76</v>
      </c>
      <c r="P932" t="str">
        <f t="shared" ref="P932:P940" si="290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3" spans="1:16" x14ac:dyDescent="0.25">
      <c r="A933" t="str">
        <f t="shared" si="277"/>
        <v>10</v>
      </c>
      <c r="B933" t="str">
        <f t="shared" si="287"/>
        <v>25</v>
      </c>
      <c r="C933" s="1">
        <v>45335</v>
      </c>
      <c r="D933" t="str">
        <f>CLEAN("8120-02-76")</f>
        <v>8120-02-76</v>
      </c>
      <c r="E933" t="str">
        <f t="shared" si="289"/>
        <v xml:space="preserve">303  </v>
      </c>
      <c r="F933" t="str">
        <f>CLEAN("$6,000,000 - $6,999,999  ")</f>
        <v xml:space="preserve">$6,000,000 - $6,999,999  </v>
      </c>
      <c r="G933" t="str">
        <f>CLEAN("LET")</f>
        <v>LET</v>
      </c>
      <c r="H933" t="str">
        <f>CLEAN("LET CONSTRUCTION         ")</f>
        <v xml:space="preserve">LET CONSTRUCTION         </v>
      </c>
      <c r="I933" t="str">
        <f>CLEAN("CONSTRUCTION/RESURFACE             ")</f>
        <v xml:space="preserve">CONSTRUCTION/RESURFACE             </v>
      </c>
      <c r="J933" t="str">
        <f>CLEAN("STH 048")</f>
        <v>STH 048</v>
      </c>
      <c r="K933" t="str">
        <f>CLEAN("BARRON                        ")</f>
        <v xml:space="preserve">BARRON                        </v>
      </c>
      <c r="L933" t="str">
        <f>CLEAN("MCKINLEY - RICE LAKE               ")</f>
        <v xml:space="preserve">MCKINLEY - RICE LAKE               </v>
      </c>
      <c r="M933" t="str">
        <f>CLEAN("USH 63 NORTH TO STH 25             ")</f>
        <v xml:space="preserve">USH 63 NORTH TO STH 25             </v>
      </c>
      <c r="N933">
        <v>9.1720000000000006</v>
      </c>
      <c r="O933" t="str">
        <f>CLEAN("8120-02-66")</f>
        <v>8120-02-66</v>
      </c>
      <c r="P933" t="str">
        <f t="shared" si="290"/>
        <v xml:space="preserve">STATE 3R                                                                                            </v>
      </c>
    </row>
    <row r="934" spans="1:16" x14ac:dyDescent="0.25">
      <c r="A934" t="str">
        <f t="shared" si="277"/>
        <v>10</v>
      </c>
      <c r="B934" t="str">
        <f t="shared" si="287"/>
        <v>25</v>
      </c>
      <c r="C934" s="1">
        <v>45407</v>
      </c>
      <c r="D934" t="str">
        <f>CLEAN("8130-00-23")</f>
        <v>8130-00-23</v>
      </c>
      <c r="E934" t="str">
        <f t="shared" si="289"/>
        <v xml:space="preserve">303  </v>
      </c>
      <c r="F934" t="str">
        <f>CLEAN("$0 - $99,999             ")</f>
        <v xml:space="preserve">$0 - $99,999             </v>
      </c>
      <c r="G934" t="str">
        <f>CLEAN("R/E")</f>
        <v>R/E</v>
      </c>
      <c r="H934" t="str">
        <f>CLEAN("NONLET CONSTR/REAL ESTATE")</f>
        <v>NONLET CONSTR/REAL ESTATE</v>
      </c>
      <c r="I934" t="str">
        <f>CLEAN("REAL ESTATE ACQUISITION            ")</f>
        <v xml:space="preserve">REAL ESTATE ACQUISITION            </v>
      </c>
      <c r="J934" t="str">
        <f>CLEAN("STH 070")</f>
        <v>STH 070</v>
      </c>
      <c r="K934" t="str">
        <f>CLEAN("WASHBURN                      ")</f>
        <v xml:space="preserve">WASHBURN                      </v>
      </c>
      <c r="L934" t="str">
        <f>CLEAN("SPOONER - STONE LAKE               ")</f>
        <v xml:space="preserve">SPOONER - STONE LAKE               </v>
      </c>
      <c r="M934" t="str">
        <f>CLEAN("CTH B W TO STH 27 N                ")</f>
        <v xml:space="preserve">CTH B W TO STH 27 N                </v>
      </c>
      <c r="N934">
        <v>5.7140000000000004</v>
      </c>
      <c r="O934" t="str">
        <f t="shared" ref="O934:O965" si="291">CLEAN("          ")</f>
        <v xml:space="preserve">          </v>
      </c>
      <c r="P934" t="str">
        <f t="shared" si="290"/>
        <v xml:space="preserve">STATE 3R                                                                                            </v>
      </c>
    </row>
    <row r="935" spans="1:16" x14ac:dyDescent="0.25">
      <c r="A935" t="str">
        <f t="shared" si="277"/>
        <v>10</v>
      </c>
      <c r="B935" t="str">
        <f t="shared" si="287"/>
        <v>25</v>
      </c>
      <c r="C935" s="1">
        <v>45621</v>
      </c>
      <c r="D935" t="str">
        <f>CLEAN("8160-00-26")</f>
        <v>8160-00-26</v>
      </c>
      <c r="E935" t="str">
        <f t="shared" si="289"/>
        <v xml:space="preserve">303  </v>
      </c>
      <c r="F935" t="str">
        <f>CLEAN("$0 - $99,999             ")</f>
        <v xml:space="preserve">$0 - $99,999             </v>
      </c>
      <c r="G935" t="str">
        <f>CLEAN("R/E")</f>
        <v>R/E</v>
      </c>
      <c r="H935" t="str">
        <f>CLEAN("NONLET CONSTR/REAL ESTATE")</f>
        <v>NONLET CONSTR/REAL ESTATE</v>
      </c>
      <c r="I935" t="str">
        <f>CLEAN("REAL ESTATE ACQUISITION            ")</f>
        <v xml:space="preserve">REAL ESTATE ACQUISITION            </v>
      </c>
      <c r="J935" t="str">
        <f>CLEAN("STH 013")</f>
        <v>STH 013</v>
      </c>
      <c r="K935" t="str">
        <f>CLEAN("BAYFIELD                      ")</f>
        <v xml:space="preserve">BAYFIELD                      </v>
      </c>
      <c r="L935" t="str">
        <f>CLEAN("C WASHBURN, BAYFIELD STREET        ")</f>
        <v xml:space="preserve">C WASHBURN, BAYFIELD STREET        </v>
      </c>
      <c r="M935" t="str">
        <f>CLEAN("WASHINGTON AVE TO SUPERIOR AVE     ")</f>
        <v xml:space="preserve">WASHINGTON AVE TO SUPERIOR AVE     </v>
      </c>
      <c r="N935">
        <v>2.08</v>
      </c>
      <c r="O935" t="str">
        <f t="shared" si="291"/>
        <v xml:space="preserve">          </v>
      </c>
      <c r="P935" t="str">
        <f t="shared" si="290"/>
        <v xml:space="preserve">STATE 3R                                                                                            </v>
      </c>
    </row>
    <row r="936" spans="1:16" x14ac:dyDescent="0.25">
      <c r="A936" t="str">
        <f t="shared" si="277"/>
        <v>10</v>
      </c>
      <c r="B936" t="str">
        <f t="shared" si="287"/>
        <v>25</v>
      </c>
      <c r="C936" s="1">
        <v>45272</v>
      </c>
      <c r="D936" t="str">
        <f>CLEAN("8170-01-74")</f>
        <v>8170-01-74</v>
      </c>
      <c r="E936" t="str">
        <f t="shared" si="289"/>
        <v xml:space="preserve">303  </v>
      </c>
      <c r="F936" t="str">
        <f>CLEAN("$750,000 - $999,999      ")</f>
        <v xml:space="preserve">$750,000 - $999,999      </v>
      </c>
      <c r="G936" t="str">
        <f>CLEAN("LET")</f>
        <v>LET</v>
      </c>
      <c r="H936" t="str">
        <f>CLEAN("LET CONSTRUCTION         ")</f>
        <v xml:space="preserve">LET CONSTRUCTION         </v>
      </c>
      <c r="I936" t="str">
        <f>CLEAN("CONSTRUCTION/NEW BRIDGE            ")</f>
        <v xml:space="preserve">CONSTRUCTION/NEW BRIDGE            </v>
      </c>
      <c r="J936" t="str">
        <f>CLEAN("STH 070")</f>
        <v>STH 070</v>
      </c>
      <c r="K936" t="str">
        <f>CLEAN("SAWYER                        ")</f>
        <v xml:space="preserve">SAWYER                        </v>
      </c>
      <c r="L936" t="str">
        <f>CLEAN("OJIBWA - OXBO                      ")</f>
        <v xml:space="preserve">OJIBWA - OXBO                      </v>
      </c>
      <c r="M936" t="str">
        <f>CLEAN("LOG CREEK BRIDGE B-57-0094         ")</f>
        <v xml:space="preserve">LOG CREEK BRIDGE B-57-0094         </v>
      </c>
      <c r="N936">
        <v>0.125</v>
      </c>
      <c r="O936" t="str">
        <f t="shared" si="291"/>
        <v xml:space="preserve">          </v>
      </c>
      <c r="P936" t="str">
        <f t="shared" si="290"/>
        <v xml:space="preserve">STATE 3R                                                                                            </v>
      </c>
    </row>
    <row r="937" spans="1:16" x14ac:dyDescent="0.25">
      <c r="A937" t="str">
        <f t="shared" si="277"/>
        <v>10</v>
      </c>
      <c r="B937" t="str">
        <f t="shared" si="287"/>
        <v>25</v>
      </c>
      <c r="C937" s="1">
        <v>45300</v>
      </c>
      <c r="D937" t="str">
        <f>CLEAN("8190-01-72")</f>
        <v>8190-01-72</v>
      </c>
      <c r="E937" t="str">
        <f t="shared" si="289"/>
        <v xml:space="preserve">303  </v>
      </c>
      <c r="F937" t="str">
        <f>CLEAN("$1,000,000 - $1,999,999  ")</f>
        <v xml:space="preserve">$1,000,000 - $1,999,999  </v>
      </c>
      <c r="G937" t="str">
        <f>CLEAN("LET")</f>
        <v>LET</v>
      </c>
      <c r="H937" t="str">
        <f>CLEAN("LET CONSTRUCTION         ")</f>
        <v xml:space="preserve">LET CONSTRUCTION         </v>
      </c>
      <c r="I937" t="str">
        <f>CLEAN("CONSTRUCTION/HOT IN PLACE RECYCLING")</f>
        <v>CONSTRUCTION/HOT IN PLACE RECYCLING</v>
      </c>
      <c r="J937" t="str">
        <f>CLEAN("STH 064")</f>
        <v>STH 064</v>
      </c>
      <c r="K937" t="str">
        <f>CLEAN("CHIPPEWA                      ")</f>
        <v xml:space="preserve">CHIPPEWA                      </v>
      </c>
      <c r="L937" t="str">
        <f>CLEAN("CORNELL - GILMAN                   ")</f>
        <v xml:space="preserve">CORNELL - GILMAN                   </v>
      </c>
      <c r="M937" t="str">
        <f>CLEAN("STH 27 N TO CTH H                  ")</f>
        <v xml:space="preserve">STH 27 N TO CTH H                  </v>
      </c>
      <c r="N937">
        <v>9.1460000000000008</v>
      </c>
      <c r="O937" t="str">
        <f t="shared" si="291"/>
        <v xml:space="preserve">          </v>
      </c>
      <c r="P937" t="str">
        <f t="shared" si="290"/>
        <v xml:space="preserve">STATE 3R                                                                                            </v>
      </c>
    </row>
    <row r="938" spans="1:16" x14ac:dyDescent="0.25">
      <c r="A938" t="str">
        <f t="shared" si="277"/>
        <v>10</v>
      </c>
      <c r="B938" t="str">
        <f t="shared" si="287"/>
        <v>25</v>
      </c>
      <c r="C938" s="1">
        <v>45560</v>
      </c>
      <c r="D938" t="str">
        <f>CLEAN("8200-00-21")</f>
        <v>8200-00-21</v>
      </c>
      <c r="E938" t="str">
        <f t="shared" si="289"/>
        <v xml:space="preserve">303  </v>
      </c>
      <c r="F938" t="str">
        <f>CLEAN("$0 - $99,999             ")</f>
        <v xml:space="preserve">$0 - $99,999             </v>
      </c>
      <c r="G938" t="str">
        <f>CLEAN("R/E")</f>
        <v>R/E</v>
      </c>
      <c r="H938" t="str">
        <f>CLEAN("NONLET CONSTR/REAL ESTATE")</f>
        <v>NONLET CONSTR/REAL ESTATE</v>
      </c>
      <c r="I938" t="str">
        <f>CLEAN("REAL ESTATE ACQUISITION            ")</f>
        <v xml:space="preserve">REAL ESTATE ACQUISITION            </v>
      </c>
      <c r="J938" t="str">
        <f>CLEAN("STH 027")</f>
        <v>STH 027</v>
      </c>
      <c r="K938" t="str">
        <f>CLEAN("CHIPPEWA                      ")</f>
        <v xml:space="preserve">CHIPPEWA                      </v>
      </c>
      <c r="L938" t="str">
        <f>CLEAN("CADOTT - CORNELL                   ")</f>
        <v xml:space="preserve">CADOTT - CORNELL                   </v>
      </c>
      <c r="M938" t="str">
        <f>CLEAN("STH 29 TO JOHNSON ROAD             ")</f>
        <v xml:space="preserve">STH 29 TO JOHNSON ROAD             </v>
      </c>
      <c r="N938">
        <v>15.56</v>
      </c>
      <c r="O938" t="str">
        <f t="shared" si="291"/>
        <v xml:space="preserve">          </v>
      </c>
      <c r="P938" t="str">
        <f t="shared" si="290"/>
        <v xml:space="preserve">STATE 3R                                                                                            </v>
      </c>
    </row>
    <row r="939" spans="1:16" x14ac:dyDescent="0.25">
      <c r="A939" t="str">
        <f t="shared" si="277"/>
        <v>10</v>
      </c>
      <c r="B939" t="str">
        <f t="shared" si="287"/>
        <v>25</v>
      </c>
      <c r="C939" s="1">
        <v>45316</v>
      </c>
      <c r="D939" t="str">
        <f>CLEAN("8220-00-56")</f>
        <v>8220-00-56</v>
      </c>
      <c r="E939" t="str">
        <f t="shared" si="289"/>
        <v xml:space="preserve">303  </v>
      </c>
      <c r="F939" t="str">
        <f>CLEAN("$250,000 - $499,999      ")</f>
        <v xml:space="preserve">$250,000 - $499,999      </v>
      </c>
      <c r="G939" t="str">
        <f>CLEAN("R/R")</f>
        <v>R/R</v>
      </c>
      <c r="H939" t="str">
        <f>CLEAN("NONLET CONSTR/REAL ESTATE")</f>
        <v>NONLET CONSTR/REAL ESTATE</v>
      </c>
      <c r="I939" t="str">
        <f>CLEAN("RR OPS/SIGNAL UPGRADE &amp; INSTALL    ")</f>
        <v xml:space="preserve">RR OPS/SIGNAL UPGRADE &amp; INSTALL    </v>
      </c>
      <c r="J939" t="str">
        <f>CLEAN("STH 064")</f>
        <v>STH 064</v>
      </c>
      <c r="K939" t="str">
        <f>CLEAN("TAYLOR                        ")</f>
        <v xml:space="preserve">TAYLOR                        </v>
      </c>
      <c r="L939" t="str">
        <f>CLEAN("GILMAN - MEDFORD                   ")</f>
        <v xml:space="preserve">GILMAN - MEDFORD                   </v>
      </c>
      <c r="M939" t="str">
        <f>CLEAN("WISCONSIN CENTRAL LTD 699488B      ")</f>
        <v xml:space="preserve">WISCONSIN CENTRAL LTD 699488B      </v>
      </c>
      <c r="N939">
        <v>5.0000000000000001E-3</v>
      </c>
      <c r="O939" t="str">
        <f t="shared" si="291"/>
        <v xml:space="preserve">          </v>
      </c>
      <c r="P939" t="str">
        <f t="shared" si="290"/>
        <v xml:space="preserve">STATE 3R                                                                                            </v>
      </c>
    </row>
    <row r="940" spans="1:16" x14ac:dyDescent="0.25">
      <c r="A940" t="str">
        <f t="shared" si="277"/>
        <v>10</v>
      </c>
      <c r="B940" t="str">
        <f t="shared" si="287"/>
        <v>25</v>
      </c>
      <c r="C940" s="1">
        <v>45316</v>
      </c>
      <c r="D940" t="str">
        <f>CLEAN("8220-00-57")</f>
        <v>8220-00-57</v>
      </c>
      <c r="E940" t="str">
        <f t="shared" si="289"/>
        <v xml:space="preserve">303  </v>
      </c>
      <c r="F940" t="str">
        <f>CLEAN("$0 - $99,999             ")</f>
        <v xml:space="preserve">$0 - $99,999             </v>
      </c>
      <c r="G940" t="str">
        <f>CLEAN("R/R")</f>
        <v>R/R</v>
      </c>
      <c r="H940" t="str">
        <f>CLEAN("NONLET CONSTR/REAL ESTATE")</f>
        <v>NONLET CONSTR/REAL ESTATE</v>
      </c>
      <c r="I940" t="str">
        <f>CLEAN("RR OPS/CROSSING SURFACE REPLACEMENT")</f>
        <v>RR OPS/CROSSING SURFACE REPLACEMENT</v>
      </c>
      <c r="J940" t="str">
        <f>CLEAN("STH 064")</f>
        <v>STH 064</v>
      </c>
      <c r="K940" t="str">
        <f>CLEAN("TAYLOR                        ")</f>
        <v xml:space="preserve">TAYLOR                        </v>
      </c>
      <c r="L940" t="str">
        <f>CLEAN("GILMAN - MEDFORD                   ")</f>
        <v xml:space="preserve">GILMAN - MEDFORD                   </v>
      </c>
      <c r="M940" t="str">
        <f>CLEAN("WISCONSIN CENTRAL LTD 699488B      ")</f>
        <v xml:space="preserve">WISCONSIN CENTRAL LTD 699488B      </v>
      </c>
      <c r="N940">
        <v>5.0000000000000001E-3</v>
      </c>
      <c r="O940" t="str">
        <f t="shared" si="291"/>
        <v xml:space="preserve">          </v>
      </c>
      <c r="P940" t="str">
        <f t="shared" si="290"/>
        <v xml:space="preserve">STATE 3R                                                                                            </v>
      </c>
    </row>
    <row r="941" spans="1:16" x14ac:dyDescent="0.25">
      <c r="A941" t="str">
        <f t="shared" si="277"/>
        <v>10</v>
      </c>
      <c r="B941" t="str">
        <f t="shared" si="287"/>
        <v>25</v>
      </c>
      <c r="C941" s="1">
        <v>45426</v>
      </c>
      <c r="D941" t="str">
        <f>CLEAN("8351-07-78")</f>
        <v>8351-07-78</v>
      </c>
      <c r="E941" t="str">
        <f>CLEAN("206  ")</f>
        <v xml:space="preserve">206  </v>
      </c>
      <c r="F941" t="str">
        <f>CLEAN("$1,000,000 - $1,999,999  ")</f>
        <v xml:space="preserve">$1,000,000 - $1,999,999  </v>
      </c>
      <c r="G941" t="str">
        <f>CLEAN("LET")</f>
        <v>LET</v>
      </c>
      <c r="H941" t="str">
        <f>CLEAN("LET CONSTRUCTION         ")</f>
        <v xml:space="preserve">LET CONSTRUCTION         </v>
      </c>
      <c r="I941" t="str">
        <f>CLEAN("CONSTRUCTION/PVRPLA                ")</f>
        <v xml:space="preserve">CONSTRUCTION/PVRPLA                </v>
      </c>
      <c r="J941" t="str">
        <f>CLEAN("CTH E  ")</f>
        <v xml:space="preserve">CTH E  </v>
      </c>
      <c r="K941" t="str">
        <f>CLEAN("BAYFIELD                      ")</f>
        <v xml:space="preserve">BAYFIELD                      </v>
      </c>
      <c r="L941" t="str">
        <f>CLEAN("USH 63 - INO                       ")</f>
        <v xml:space="preserve">USH 63 - INO                       </v>
      </c>
      <c r="M941" t="str">
        <f>CLEAN("USH 63 TO TOWN ROAD 36             ")</f>
        <v xml:space="preserve">USH 63 TO TOWN ROAD 36             </v>
      </c>
      <c r="N941">
        <v>4.03</v>
      </c>
      <c r="O941" t="str">
        <f t="shared" si="291"/>
        <v xml:space="preserve">          </v>
      </c>
      <c r="P94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42" spans="1:16" x14ac:dyDescent="0.25">
      <c r="A942" t="str">
        <f t="shared" si="277"/>
        <v>10</v>
      </c>
      <c r="B942" t="str">
        <f t="shared" si="287"/>
        <v>25</v>
      </c>
      <c r="C942" s="1">
        <v>45285</v>
      </c>
      <c r="D942" t="str">
        <f>CLEAN("8357-00-00")</f>
        <v>8357-00-00</v>
      </c>
      <c r="E942" t="str">
        <f>CLEAN("290  ")</f>
        <v xml:space="preserve">290  </v>
      </c>
      <c r="F942" t="str">
        <f>CLEAN("$0 - $99,999             ")</f>
        <v xml:space="preserve">$0 - $99,999             </v>
      </c>
      <c r="G942" t="str">
        <f>CLEAN("MIS")</f>
        <v>MIS</v>
      </c>
      <c r="H942" t="str">
        <f>CLEAN("NONLET CONSTR/REAL ESTATE")</f>
        <v>NONLET CONSTR/REAL ESTATE</v>
      </c>
      <c r="I942" t="str">
        <f>CLEAN("PLANNING/BICYCLE-PED PLANNING STUDY")</f>
        <v>PLANNING/BICYCLE-PED PLANNING STUDY</v>
      </c>
      <c r="J942" t="str">
        <f>CLEAN("OFF SYS")</f>
        <v>OFF SYS</v>
      </c>
      <c r="K942" t="str">
        <f>CLEAN("BAYFIELD                      ")</f>
        <v xml:space="preserve">BAYFIELD                      </v>
      </c>
      <c r="L942" t="str">
        <f>CLEAN("T RED CLIFF, RED CLIFF TRAILS PLAN ")</f>
        <v xml:space="preserve">T RED CLIFF, RED CLIFF TRAILS PLAN </v>
      </c>
      <c r="M942" t="str">
        <f>CLEAN("BAYFIELD SCHOOL DISTRICT SA        ")</f>
        <v xml:space="preserve">BAYFIELD SCHOOL DISTRICT SA        </v>
      </c>
      <c r="N942">
        <v>0</v>
      </c>
      <c r="O942" t="str">
        <f t="shared" si="291"/>
        <v xml:space="preserve">          </v>
      </c>
      <c r="P942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943" spans="1:16" x14ac:dyDescent="0.25">
      <c r="A943" t="str">
        <f t="shared" si="277"/>
        <v>10</v>
      </c>
      <c r="B943" t="str">
        <f t="shared" si="287"/>
        <v>25</v>
      </c>
      <c r="C943" s="1">
        <v>45426</v>
      </c>
      <c r="D943" t="str">
        <f>CLEAN("8359-00-70")</f>
        <v>8359-00-70</v>
      </c>
      <c r="E943" t="str">
        <f>CLEAN("206  ")</f>
        <v xml:space="preserve">206  </v>
      </c>
      <c r="F943" t="str">
        <f>CLEAN("$500,000 - $749,999      ")</f>
        <v xml:space="preserve">$500,000 - $749,999      </v>
      </c>
      <c r="G943" t="str">
        <f>CLEAN("LET")</f>
        <v>LET</v>
      </c>
      <c r="H943" t="str">
        <f>CLEAN("LET CONSTRUCTION         ")</f>
        <v xml:space="preserve">LET CONSTRUCTION         </v>
      </c>
      <c r="I943" t="str">
        <f>CLEAN("CONSTRUCTION/RECONSTRUCTION        ")</f>
        <v xml:space="preserve">CONSTRUCTION/RECONSTRUCTION        </v>
      </c>
      <c r="J943" t="str">
        <f>CLEAN("LOC STR")</f>
        <v>LOC STR</v>
      </c>
      <c r="K943" t="str">
        <f>CLEAN("BAYFIELD                      ")</f>
        <v xml:space="preserve">BAYFIELD                      </v>
      </c>
      <c r="L943" t="str">
        <f>CLEAN("T WASHBURN, WANNEBO ROAD           ")</f>
        <v xml:space="preserve">T WASHBURN, WANNEBO ROAD           </v>
      </c>
      <c r="M943" t="str">
        <f>CLEAN("ONDOSSAGON RD TO CHEQUAMEGON HTS RD")</f>
        <v>ONDOSSAGON RD TO CHEQUAMEGON HTS RD</v>
      </c>
      <c r="N943">
        <v>2</v>
      </c>
      <c r="O943" t="str">
        <f t="shared" si="291"/>
        <v xml:space="preserve">          </v>
      </c>
      <c r="P94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44" spans="1:16" x14ac:dyDescent="0.25">
      <c r="A944" t="str">
        <f t="shared" si="277"/>
        <v>10</v>
      </c>
      <c r="B944" t="str">
        <f t="shared" si="287"/>
        <v>25</v>
      </c>
      <c r="C944" s="1">
        <v>45636</v>
      </c>
      <c r="D944" t="str">
        <f>CLEAN("8368-00-70")</f>
        <v>8368-00-70</v>
      </c>
      <c r="E944" t="str">
        <f>CLEAN("206  ")</f>
        <v xml:space="preserve">206  </v>
      </c>
      <c r="F944" t="str">
        <f>CLEAN("$2,000,000 - $2,999,999  ")</f>
        <v xml:space="preserve">$2,000,000 - $2,999,999  </v>
      </c>
      <c r="G944" t="str">
        <f>CLEAN("LET")</f>
        <v>LET</v>
      </c>
      <c r="H944" t="str">
        <f>CLEAN("LET CONSTRUCTION         ")</f>
        <v xml:space="preserve">LET CONSTRUCTION         </v>
      </c>
      <c r="I944" t="str">
        <f>CLEAN("CONSTRUCTION/PVRPLA                ")</f>
        <v xml:space="preserve">CONSTRUCTION/PVRPLA                </v>
      </c>
      <c r="J944" t="str">
        <f>CLEAN("CTH X  ")</f>
        <v xml:space="preserve">CTH X  </v>
      </c>
      <c r="K944" t="str">
        <f>CLEAN("BURNETT                       ")</f>
        <v xml:space="preserve">BURNETT                       </v>
      </c>
      <c r="L944" t="str">
        <f>CLEAN("WEBSTER - HERTEL                   ")</f>
        <v xml:space="preserve">WEBSTER - HERTEL                   </v>
      </c>
      <c r="M944" t="str">
        <f>CLEAN("STH 35 TO GASLYN ROAD              ")</f>
        <v xml:space="preserve">STH 35 TO GASLYN ROAD              </v>
      </c>
      <c r="N944">
        <v>4.78</v>
      </c>
      <c r="O944" t="str">
        <f t="shared" si="291"/>
        <v xml:space="preserve">          </v>
      </c>
      <c r="P94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45" spans="1:16" x14ac:dyDescent="0.25">
      <c r="A945" t="str">
        <f t="shared" si="277"/>
        <v>10</v>
      </c>
      <c r="B945" t="str">
        <f t="shared" si="287"/>
        <v>25</v>
      </c>
      <c r="C945" s="1">
        <v>45636</v>
      </c>
      <c r="D945" t="str">
        <f>CLEAN("8383-00-70")</f>
        <v>8383-00-70</v>
      </c>
      <c r="E945" t="str">
        <f>CLEAN("205  ")</f>
        <v xml:space="preserve">205  </v>
      </c>
      <c r="F945" t="str">
        <f>CLEAN("$500,000 - $749,999      ")</f>
        <v xml:space="preserve">$500,000 - $749,999      </v>
      </c>
      <c r="G945" t="str">
        <f>CLEAN("LET")</f>
        <v>LET</v>
      </c>
      <c r="H945" t="str">
        <f>CLEAN("LET CONSTRUCTION         ")</f>
        <v xml:space="preserve">LET CONSTRUCTION         </v>
      </c>
      <c r="I945" t="str">
        <f>CLEAN("CONSTRUCTION/BRIDGE REPLACEMENT    ")</f>
        <v xml:space="preserve">CONSTRUCTION/BRIDGE REPLACEMENT    </v>
      </c>
      <c r="J945" t="str">
        <f>CLEAN("LOC STR")</f>
        <v>LOC STR</v>
      </c>
      <c r="K945" t="str">
        <f>CLEAN("DOUGLAS                       ")</f>
        <v xml:space="preserve">DOUGLAS                       </v>
      </c>
      <c r="L945" t="str">
        <f>CLEAN("T BRULE, AFTER HOURS ROAD          ")</f>
        <v xml:space="preserve">T BRULE, AFTER HOURS ROAD          </v>
      </c>
      <c r="M945" t="str">
        <f>CLEAN("NEBAGAMON CREEK BRIDGE B-16-0152   ")</f>
        <v xml:space="preserve">NEBAGAMON CREEK BRIDGE B-16-0152   </v>
      </c>
      <c r="N945">
        <v>0</v>
      </c>
      <c r="O945" t="str">
        <f t="shared" si="291"/>
        <v xml:space="preserve">          </v>
      </c>
      <c r="P94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6" spans="1:16" x14ac:dyDescent="0.25">
      <c r="A946" t="str">
        <f t="shared" si="277"/>
        <v>10</v>
      </c>
      <c r="B946" t="str">
        <f t="shared" si="287"/>
        <v>25</v>
      </c>
      <c r="C946" s="1">
        <v>45363</v>
      </c>
      <c r="D946" t="str">
        <f>CLEAN("8386-00-73")</f>
        <v>8386-00-73</v>
      </c>
      <c r="E946" t="str">
        <f>CLEAN("205  ")</f>
        <v xml:space="preserve">205  </v>
      </c>
      <c r="F946" t="str">
        <f>CLEAN("$500,000 - $749,999      ")</f>
        <v xml:space="preserve">$500,000 - $749,999      </v>
      </c>
      <c r="G946" t="str">
        <f>CLEAN("LET")</f>
        <v>LET</v>
      </c>
      <c r="H946" t="str">
        <f>CLEAN("LET CONSTRUCTION         ")</f>
        <v xml:space="preserve">LET CONSTRUCTION         </v>
      </c>
      <c r="I946" t="str">
        <f>CLEAN("CONSTRUCTION/BRIDGE REPLACEMENT    ")</f>
        <v xml:space="preserve">CONSTRUCTION/BRIDGE REPLACEMENT    </v>
      </c>
      <c r="J946" t="str">
        <f>CLEAN("LOC STR")</f>
        <v>LOC STR</v>
      </c>
      <c r="K946" t="str">
        <f>CLEAN("DOUGLAS                       ")</f>
        <v xml:space="preserve">DOUGLAS                       </v>
      </c>
      <c r="L946" t="str">
        <f>CLEAN("T GORDON, EAST MAIL ROAD           ")</f>
        <v xml:space="preserve">T GORDON, EAST MAIL ROAD           </v>
      </c>
      <c r="M946" t="str">
        <f>CLEAN("EAU CLAIRE RIVER BRIDGE B-16-0150  ")</f>
        <v xml:space="preserve">EAU CLAIRE RIVER BRIDGE B-16-0150  </v>
      </c>
      <c r="N946">
        <v>4.7E-2</v>
      </c>
      <c r="O946" t="str">
        <f t="shared" si="291"/>
        <v xml:space="preserve">          </v>
      </c>
      <c r="P94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7" spans="1:16" x14ac:dyDescent="0.25">
      <c r="A947" t="str">
        <f t="shared" si="277"/>
        <v>10</v>
      </c>
      <c r="B947" t="str">
        <f t="shared" si="287"/>
        <v>25</v>
      </c>
      <c r="C947" s="1">
        <v>45316</v>
      </c>
      <c r="D947" t="str">
        <f>CLEAN("8416-00-70")</f>
        <v>8416-00-70</v>
      </c>
      <c r="E947" t="str">
        <f>CLEAN("209  ")</f>
        <v xml:space="preserve">209  </v>
      </c>
      <c r="F947" t="str">
        <f>CLEAN("$250,000 - $499,999      ")</f>
        <v xml:space="preserve">$250,000 - $499,999      </v>
      </c>
      <c r="G947" t="str">
        <f>CLEAN("LLC")</f>
        <v>LLC</v>
      </c>
      <c r="H947" t="str">
        <f>CLEAN("NONLET CONSTR/REAL ESTATE")</f>
        <v>NONLET CONSTR/REAL ESTATE</v>
      </c>
      <c r="I947" t="str">
        <f>CLEAN("CONST/TEA/RECONSTRUCTION           ")</f>
        <v xml:space="preserve">CONST/TEA/RECONSTRUCTION           </v>
      </c>
      <c r="J947" t="str">
        <f>CLEAN("LOC STR")</f>
        <v>LOC STR</v>
      </c>
      <c r="K947" t="str">
        <f>CLEAN("POLK                          ")</f>
        <v xml:space="preserve">POLK                          </v>
      </c>
      <c r="L947" t="str">
        <f>CLEAN("V MILLTOWN, TIGER ST &amp; 4TH AVE     ")</f>
        <v xml:space="preserve">V MILLTOWN, TIGER ST &amp; 4TH AVE     </v>
      </c>
      <c r="M947" t="str">
        <f>CLEAN("ROCKSHIELD RUBBER COMPANY          ")</f>
        <v xml:space="preserve">ROCKSHIELD RUBBER COMPANY          </v>
      </c>
      <c r="N947">
        <v>0.38</v>
      </c>
      <c r="O947" t="str">
        <f t="shared" si="291"/>
        <v xml:space="preserve">          </v>
      </c>
      <c r="P947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948" spans="1:16" x14ac:dyDescent="0.25">
      <c r="A948" t="str">
        <f t="shared" si="277"/>
        <v>10</v>
      </c>
      <c r="B948" t="str">
        <f t="shared" si="287"/>
        <v>25</v>
      </c>
      <c r="C948" s="1">
        <v>45651</v>
      </c>
      <c r="D948" t="str">
        <f>CLEAN("8417-00-77")</f>
        <v>8417-00-77</v>
      </c>
      <c r="E948" t="str">
        <f>CLEAN("303  ")</f>
        <v xml:space="preserve">303  </v>
      </c>
      <c r="F948" t="str">
        <f>CLEAN("$100,000-$249,999        ")</f>
        <v xml:space="preserve">$100,000-$249,999        </v>
      </c>
      <c r="G948" t="str">
        <f>CLEAN("OST")</f>
        <v>OST</v>
      </c>
      <c r="H948" t="str">
        <f>CLEAN("NONLET CONSTR/REAL ESTATE")</f>
        <v>NONLET CONSTR/REAL ESTATE</v>
      </c>
      <c r="I948" t="str">
        <f>CLEAN("CONSTR/REIMBURSEMENT TO MINNESOTA  ")</f>
        <v xml:space="preserve">CONSTR/REIMBURSEMENT TO MINNESOTA  </v>
      </c>
      <c r="J948" t="str">
        <f>CLEAN("STH 243")</f>
        <v>STH 243</v>
      </c>
      <c r="K948" t="str">
        <f>CLEAN("POLK                          ")</f>
        <v xml:space="preserve">POLK                          </v>
      </c>
      <c r="L948" t="str">
        <f>CLEAN("ST CROIX RIVER - OSCEOLA           ")</f>
        <v xml:space="preserve">ST CROIX RIVER - OSCEOLA           </v>
      </c>
      <c r="M948" t="str">
        <f>CLEAN("ST CROIX RIVER TO STH 35           ")</f>
        <v xml:space="preserve">ST CROIX RIVER TO STH 35           </v>
      </c>
      <c r="N948">
        <v>0.21</v>
      </c>
      <c r="O948" t="str">
        <f t="shared" si="291"/>
        <v xml:space="preserve">          </v>
      </c>
      <c r="P94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49" spans="1:16" x14ac:dyDescent="0.25">
      <c r="A949" t="str">
        <f t="shared" si="277"/>
        <v>10</v>
      </c>
      <c r="B949" t="str">
        <f t="shared" si="287"/>
        <v>25</v>
      </c>
      <c r="C949" s="1">
        <v>45608</v>
      </c>
      <c r="D949" t="str">
        <f>CLEAN("8418-00-70")</f>
        <v>8418-00-70</v>
      </c>
      <c r="E949" t="str">
        <f>CLEAN("206  ")</f>
        <v xml:space="preserve">206  </v>
      </c>
      <c r="F949" t="str">
        <f>CLEAN("$250,000 - $499,999      ")</f>
        <v xml:space="preserve">$250,000 - $499,999      </v>
      </c>
      <c r="G949" t="str">
        <f>CLEAN("LET")</f>
        <v>LET</v>
      </c>
      <c r="H949" t="str">
        <f>CLEAN("LET CONSTRUCTION         ")</f>
        <v xml:space="preserve">LET CONSTRUCTION         </v>
      </c>
      <c r="I949" t="str">
        <f>CLEAN("CONSTRUCTION/PVRPLA                ")</f>
        <v xml:space="preserve">CONSTRUCTION/PVRPLA                </v>
      </c>
      <c r="J949" t="str">
        <f>CLEAN("LOC STR")</f>
        <v>LOC STR</v>
      </c>
      <c r="K949" t="str">
        <f>CLEAN("POLK                          ")</f>
        <v xml:space="preserve">POLK                          </v>
      </c>
      <c r="L949" t="str">
        <f>CLEAN("C ST CROIX FALLS, THOMPSON PARKWAY ")</f>
        <v xml:space="preserve">C ST CROIX FALLS, THOMPSON PARKWAY </v>
      </c>
      <c r="M949" t="str">
        <f>CLEAN("KENTUCKY ST TO LOUISIANA ST        ")</f>
        <v xml:space="preserve">KENTUCKY ST TO LOUISIANA ST        </v>
      </c>
      <c r="N949">
        <v>0.129</v>
      </c>
      <c r="O949" t="str">
        <f t="shared" si="291"/>
        <v xml:space="preserve">          </v>
      </c>
      <c r="P94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50" spans="1:16" x14ac:dyDescent="0.25">
      <c r="A950" t="str">
        <f t="shared" si="277"/>
        <v>10</v>
      </c>
      <c r="B950" t="str">
        <f t="shared" si="287"/>
        <v>25</v>
      </c>
      <c r="C950" s="1">
        <v>45621</v>
      </c>
      <c r="D950" t="str">
        <f>CLEAN("8420-02-70")</f>
        <v>8420-02-70</v>
      </c>
      <c r="E950" t="str">
        <f>CLEAN("290  ")</f>
        <v xml:space="preserve">290  </v>
      </c>
      <c r="F950" t="str">
        <f>CLEAN("$250,000 - $499,999      ")</f>
        <v xml:space="preserve">$250,000 - $499,999      </v>
      </c>
      <c r="G950" t="str">
        <f>CLEAN("LLC")</f>
        <v>LLC</v>
      </c>
      <c r="H950" t="str">
        <f>CLEAN("NONLET CONSTR/REAL ESTATE")</f>
        <v>NONLET CONSTR/REAL ESTATE</v>
      </c>
      <c r="I950" t="str">
        <f>CLEAN("CONSTRUCTION/SRTS TAP PROGRAM      ")</f>
        <v xml:space="preserve">CONSTRUCTION/SRTS TAP PROGRAM      </v>
      </c>
      <c r="J950" t="str">
        <f>CLEAN("NON HWY")</f>
        <v>NON HWY</v>
      </c>
      <c r="K950" t="str">
        <f>CLEAN("POLK                          ")</f>
        <v xml:space="preserve">POLK                          </v>
      </c>
      <c r="L950" t="str">
        <f>CLEAN("V FREDERIC, SAFE ROUTES TO SCHOOL  ")</f>
        <v xml:space="preserve">V FREDERIC, SAFE ROUTES TO SCHOOL  </v>
      </c>
      <c r="M950" t="str">
        <f>CLEAN("SIDEWALKS ON VARIOUS STREETS       ")</f>
        <v xml:space="preserve">SIDEWALKS ON VARIOUS STREETS       </v>
      </c>
      <c r="N950">
        <v>0.37</v>
      </c>
      <c r="O950" t="str">
        <f t="shared" si="291"/>
        <v xml:space="preserve">          </v>
      </c>
      <c r="P950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951" spans="1:16" x14ac:dyDescent="0.25">
      <c r="A951" t="str">
        <f t="shared" si="277"/>
        <v>10</v>
      </c>
      <c r="B951" t="str">
        <f t="shared" si="287"/>
        <v>25</v>
      </c>
      <c r="C951" s="1">
        <v>45300</v>
      </c>
      <c r="D951" t="str">
        <f>CLEAN("8520-01-75")</f>
        <v>8520-01-75</v>
      </c>
      <c r="E951" t="str">
        <f>CLEAN("303  ")</f>
        <v xml:space="preserve">303  </v>
      </c>
      <c r="F951" t="str">
        <f>CLEAN("$3,000,000 - $3,999,999  ")</f>
        <v xml:space="preserve">$3,000,000 - $3,999,999  </v>
      </c>
      <c r="G951" t="str">
        <f>CLEAN("LET")</f>
        <v>LET</v>
      </c>
      <c r="H951" t="str">
        <f>CLEAN("LET CONSTRUCTION         ")</f>
        <v xml:space="preserve">LET CONSTRUCTION         </v>
      </c>
      <c r="I951" t="str">
        <f>CLEAN("CONSTRUCTION/RESURFACING           ")</f>
        <v xml:space="preserve">CONSTRUCTION/RESURFACING           </v>
      </c>
      <c r="J951" t="str">
        <f>CLEAN("STH 077")</f>
        <v>STH 077</v>
      </c>
      <c r="K951" t="str">
        <f>CLEAN("SAWYER                        ")</f>
        <v xml:space="preserve">SAWYER                        </v>
      </c>
      <c r="L951" t="str">
        <f>CLEAN("HAYWARD - CLAM LAKE                ")</f>
        <v xml:space="preserve">HAYWARD - CLAM LAKE                </v>
      </c>
      <c r="M951" t="str">
        <f>CLEAN("USH 63 TO CTH K                    ")</f>
        <v xml:space="preserve">USH 63 TO CTH K                    </v>
      </c>
      <c r="N951">
        <v>5.67</v>
      </c>
      <c r="O951" t="str">
        <f t="shared" si="291"/>
        <v xml:space="preserve">          </v>
      </c>
      <c r="P9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2" spans="1:16" x14ac:dyDescent="0.25">
      <c r="A952" t="str">
        <f t="shared" ref="A952:A1015" si="292">CLEAN("10")</f>
        <v>10</v>
      </c>
      <c r="B952" t="str">
        <f t="shared" ref="B952:B983" si="293">CLEAN("25")</f>
        <v>25</v>
      </c>
      <c r="C952" s="1">
        <v>45621</v>
      </c>
      <c r="D952" t="str">
        <f>CLEAN("8560-01-24")</f>
        <v>8560-01-24</v>
      </c>
      <c r="E952" t="str">
        <f>CLEAN("303  ")</f>
        <v xml:space="preserve">303  </v>
      </c>
      <c r="F952" t="str">
        <f>CLEAN("$0 - $99,999             ")</f>
        <v xml:space="preserve">$0 - $99,999             </v>
      </c>
      <c r="G952" t="str">
        <f>CLEAN("R/E")</f>
        <v>R/E</v>
      </c>
      <c r="H952" t="str">
        <f t="shared" ref="H952:H962" si="294">CLEAN("NONLET CONSTR/REAL ESTATE")</f>
        <v>NONLET CONSTR/REAL ESTATE</v>
      </c>
      <c r="I952" t="str">
        <f>CLEAN("REAL ESTATE ACQUISITION            ")</f>
        <v xml:space="preserve">REAL ESTATE ACQUISITION            </v>
      </c>
      <c r="J952" t="str">
        <f>CLEAN("STH 077")</f>
        <v>STH 077</v>
      </c>
      <c r="K952" t="str">
        <f>CLEAN("BURNETT                       ")</f>
        <v xml:space="preserve">BURNETT                       </v>
      </c>
      <c r="L952" t="str">
        <f>CLEAN("ST CROIX RIVER - DANBURY           ")</f>
        <v xml:space="preserve">ST CROIX RIVER - DANBURY           </v>
      </c>
      <c r="M952" t="str">
        <f>CLEAN("MN/WI STATE LN TO STH 35 S         ")</f>
        <v xml:space="preserve">MN/WI STATE LN TO STH 35 S         </v>
      </c>
      <c r="N952">
        <v>3.96</v>
      </c>
      <c r="O952" t="str">
        <f t="shared" si="291"/>
        <v xml:space="preserve">          </v>
      </c>
      <c r="P9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3" spans="1:16" x14ac:dyDescent="0.25">
      <c r="A953" t="str">
        <f t="shared" si="292"/>
        <v>10</v>
      </c>
      <c r="B953" t="str">
        <f t="shared" si="293"/>
        <v>25</v>
      </c>
      <c r="C953" s="1">
        <v>45468</v>
      </c>
      <c r="D953" t="str">
        <f>CLEAN("8570-00-50")</f>
        <v>8570-00-50</v>
      </c>
      <c r="E953" t="str">
        <f>CLEAN("303  ")</f>
        <v xml:space="preserve">303  </v>
      </c>
      <c r="F953" t="str">
        <f>CLEAN("$250,000 - $499,999      ")</f>
        <v xml:space="preserve">$250,000 - $499,999      </v>
      </c>
      <c r="G953" t="str">
        <f>CLEAN("R/R")</f>
        <v>R/R</v>
      </c>
      <c r="H953" t="str">
        <f t="shared" si="294"/>
        <v>NONLET CONSTR/REAL ESTATE</v>
      </c>
      <c r="I953" t="str">
        <f>CLEAN("R/R OPS/SAFETY RAIL WARNING DEVICES")</f>
        <v>R/R OPS/SAFETY RAIL WARNING DEVICES</v>
      </c>
      <c r="J953" t="str">
        <f>CLEAN("STH 048")</f>
        <v>STH 048</v>
      </c>
      <c r="K953" t="str">
        <f>CLEAN("SAWYER                        ")</f>
        <v xml:space="preserve">SAWYER                        </v>
      </c>
      <c r="L953" t="str">
        <f>CLEAN("BIRCHWOOD - EXELAND                ")</f>
        <v xml:space="preserve">BIRCHWOOD - EXELAND                </v>
      </c>
      <c r="M953" t="str">
        <f>CLEAN("WISCONSIN CENTRAL LTD XING 697338L ")</f>
        <v xml:space="preserve">WISCONSIN CENTRAL LTD XING 697338L </v>
      </c>
      <c r="N953">
        <v>0</v>
      </c>
      <c r="O953" t="str">
        <f t="shared" si="291"/>
        <v xml:space="preserve">          </v>
      </c>
      <c r="P953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954" spans="1:16" x14ac:dyDescent="0.25">
      <c r="A954" t="str">
        <f t="shared" si="292"/>
        <v>10</v>
      </c>
      <c r="B954" t="str">
        <f t="shared" si="293"/>
        <v>25</v>
      </c>
      <c r="C954" s="1">
        <v>45437</v>
      </c>
      <c r="D954" t="str">
        <f>CLEAN("8600-08-24")</f>
        <v>8600-08-24</v>
      </c>
      <c r="E954" t="str">
        <f>CLEAN("303  ")</f>
        <v xml:space="preserve">303  </v>
      </c>
      <c r="F954" t="str">
        <f>CLEAN("$0 - $99,999             ")</f>
        <v xml:space="preserve">$0 - $99,999             </v>
      </c>
      <c r="G954" t="str">
        <f>CLEAN("R/E")</f>
        <v>R/E</v>
      </c>
      <c r="H954" t="str">
        <f t="shared" si="294"/>
        <v>NONLET CONSTR/REAL ESTATE</v>
      </c>
      <c r="I954" t="str">
        <f>CLEAN("REAL ESTATE ACQUISITION            ")</f>
        <v xml:space="preserve">REAL ESTATE ACQUISITION            </v>
      </c>
      <c r="J954" t="str">
        <f>CLEAN("STH 178")</f>
        <v>STH 178</v>
      </c>
      <c r="K954" t="str">
        <f>CLEAN("CHIPPEWA                      ")</f>
        <v xml:space="preserve">CHIPPEWA                      </v>
      </c>
      <c r="L954" t="str">
        <f>CLEAN("CHIPPEWA FALLS - CORNELL           ")</f>
        <v xml:space="preserve">CHIPPEWA FALLS - CORNELL           </v>
      </c>
      <c r="M954" t="str">
        <f>CLEAN("ONEIL CREEK BRIDGE B-09-0NEW       ")</f>
        <v xml:space="preserve">ONEIL CREEK BRIDGE B-09-0NEW       </v>
      </c>
      <c r="N954">
        <v>0</v>
      </c>
      <c r="O954" t="str">
        <f t="shared" si="291"/>
        <v xml:space="preserve">          </v>
      </c>
      <c r="P95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55" spans="1:16" x14ac:dyDescent="0.25">
      <c r="A955" t="str">
        <f t="shared" si="292"/>
        <v>10</v>
      </c>
      <c r="B955" t="str">
        <f t="shared" si="293"/>
        <v>25</v>
      </c>
      <c r="C955" s="1">
        <v>45468</v>
      </c>
      <c r="D955" t="str">
        <f>CLEAN("8620-00-25")</f>
        <v>8620-00-25</v>
      </c>
      <c r="E955" t="str">
        <f>CLEAN("303  ")</f>
        <v xml:space="preserve">303  </v>
      </c>
      <c r="F955" t="str">
        <f>CLEAN("$0 - $99,999             ")</f>
        <v xml:space="preserve">$0 - $99,999             </v>
      </c>
      <c r="G955" t="str">
        <f>CLEAN("R/E")</f>
        <v>R/E</v>
      </c>
      <c r="H955" t="str">
        <f t="shared" si="294"/>
        <v>NONLET CONSTR/REAL ESTATE</v>
      </c>
      <c r="I955" t="str">
        <f>CLEAN("REAL ESTATE ACQUISTION             ")</f>
        <v xml:space="preserve">REAL ESTATE ACQUISTION             </v>
      </c>
      <c r="J955" t="str">
        <f>CLEAN("STH 040")</f>
        <v>STH 040</v>
      </c>
      <c r="K955" t="str">
        <f>CLEAN("DUNN                          ")</f>
        <v xml:space="preserve">DUNN                          </v>
      </c>
      <c r="L955" t="str">
        <f>CLEAN("ELK MOUND - BLOOMER                ")</f>
        <v xml:space="preserve">ELK MOUND - BLOOMER                </v>
      </c>
      <c r="M955" t="str">
        <f>CLEAN("USH 12 TO CTH M                    ")</f>
        <v xml:space="preserve">USH 12 TO CTH M                    </v>
      </c>
      <c r="N955">
        <v>8.9</v>
      </c>
      <c r="O955" t="str">
        <f t="shared" si="291"/>
        <v xml:space="preserve">          </v>
      </c>
      <c r="P95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6" spans="1:16" x14ac:dyDescent="0.25">
      <c r="A956" t="str">
        <f t="shared" si="292"/>
        <v>10</v>
      </c>
      <c r="B956" t="str">
        <f t="shared" si="293"/>
        <v>25</v>
      </c>
      <c r="C956" s="1">
        <v>45468</v>
      </c>
      <c r="D956" t="str">
        <f>CLEAN("8640-00-52")</f>
        <v>8640-00-52</v>
      </c>
      <c r="E956" t="str">
        <f>CLEAN("207  ")</f>
        <v xml:space="preserve">207  </v>
      </c>
      <c r="F956" t="str">
        <f>CLEAN("$100,000-$249,999        ")</f>
        <v xml:space="preserve">$100,000-$249,999        </v>
      </c>
      <c r="G956" t="str">
        <f>CLEAN("R/R")</f>
        <v>R/R</v>
      </c>
      <c r="H956" t="str">
        <f t="shared" si="294"/>
        <v>NONLET CONSTR/REAL ESTATE</v>
      </c>
      <c r="I956" t="str">
        <f>CLEAN("R/R OPS/CROSSING SURFACE           ")</f>
        <v xml:space="preserve">R/R OPS/CROSSING SURFACE           </v>
      </c>
      <c r="J956" t="str">
        <f>CLEAN("STH 079")</f>
        <v>STH 079</v>
      </c>
      <c r="K956" t="str">
        <f>CLEAN("DUNN                          ")</f>
        <v xml:space="preserve">DUNN                          </v>
      </c>
      <c r="L956" t="str">
        <f>CLEAN("MENOMONIE - CONNORSVILLE           ")</f>
        <v xml:space="preserve">MENOMONIE - CONNORSVILLE           </v>
      </c>
      <c r="M956" t="str">
        <f>CLEAN("UNION PACIFIC RR XING 183906L      ")</f>
        <v xml:space="preserve">UNION PACIFIC RR XING 183906L      </v>
      </c>
      <c r="N956">
        <v>0</v>
      </c>
      <c r="O956" t="str">
        <f t="shared" si="291"/>
        <v xml:space="preserve">          </v>
      </c>
      <c r="P956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957" spans="1:16" x14ac:dyDescent="0.25">
      <c r="A957" t="str">
        <f t="shared" si="292"/>
        <v>10</v>
      </c>
      <c r="B957" t="str">
        <f t="shared" si="293"/>
        <v>25</v>
      </c>
      <c r="C957" s="1">
        <v>45316</v>
      </c>
      <c r="D957" t="str">
        <f>CLEAN("8650-00-23")</f>
        <v>8650-00-23</v>
      </c>
      <c r="E957" t="str">
        <f>CLEAN("303  ")</f>
        <v xml:space="preserve">303  </v>
      </c>
      <c r="F957" t="str">
        <f>CLEAN("$0 - $99,999             ")</f>
        <v xml:space="preserve">$0 - $99,999             </v>
      </c>
      <c r="G957" t="str">
        <f>CLEAN("R/E")</f>
        <v>R/E</v>
      </c>
      <c r="H957" t="str">
        <f t="shared" si="294"/>
        <v>NONLET CONSTR/REAL ESTATE</v>
      </c>
      <c r="I957" t="str">
        <f>CLEAN("REAL ESTATE ACQUISITION            ")</f>
        <v xml:space="preserve">REAL ESTATE ACQUISITION            </v>
      </c>
      <c r="J957" t="str">
        <f>CLEAN("STH 128")</f>
        <v>STH 128</v>
      </c>
      <c r="K957" t="str">
        <f>CLEAN("ST. CROIX                     ")</f>
        <v xml:space="preserve">ST. CROIX                     </v>
      </c>
      <c r="L957" t="str">
        <f>CLEAN("ELMWOOD - STH 64                   ")</f>
        <v xml:space="preserve">ELMWOOD - STH 64                   </v>
      </c>
      <c r="M957" t="str">
        <f>CLEAN("STH 170 TO STH 64                  ")</f>
        <v xml:space="preserve">STH 170 TO STH 64                  </v>
      </c>
      <c r="N957">
        <v>6.14</v>
      </c>
      <c r="O957" t="str">
        <f t="shared" si="291"/>
        <v xml:space="preserve">          </v>
      </c>
      <c r="P95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8" spans="1:16" x14ac:dyDescent="0.25">
      <c r="A958" t="str">
        <f t="shared" si="292"/>
        <v>10</v>
      </c>
      <c r="B958" t="str">
        <f t="shared" si="293"/>
        <v>25</v>
      </c>
      <c r="C958" s="1">
        <v>45285</v>
      </c>
      <c r="D958" t="str">
        <f>CLEAN("8650-00-50")</f>
        <v>8650-00-50</v>
      </c>
      <c r="E958" t="str">
        <f>CLEAN("303  ")</f>
        <v xml:space="preserve">303  </v>
      </c>
      <c r="F958" t="str">
        <f>CLEAN("$250,000 - $499,999      ")</f>
        <v xml:space="preserve">$250,000 - $499,999      </v>
      </c>
      <c r="G958" t="str">
        <f>CLEAN("R/R")</f>
        <v>R/R</v>
      </c>
      <c r="H958" t="str">
        <f t="shared" si="294"/>
        <v>NONLET CONSTR/REAL ESTATE</v>
      </c>
      <c r="I958" t="str">
        <f>CLEAN("RR OPS/INSTALL SIGNALS AND GATES   ")</f>
        <v xml:space="preserve">RR OPS/INSTALL SIGNALS AND GATES   </v>
      </c>
      <c r="J958" t="str">
        <f>CLEAN("STH 128")</f>
        <v>STH 128</v>
      </c>
      <c r="K958" t="str">
        <f>CLEAN("ST. CROIX                     ")</f>
        <v xml:space="preserve">ST. CROIX                     </v>
      </c>
      <c r="L958" t="str">
        <f>CLEAN("ELMWOOD - STH 64                   ")</f>
        <v xml:space="preserve">ELMWOOD - STH 64                   </v>
      </c>
      <c r="M958" t="str">
        <f>CLEAN("WCL RR XING 693015C MP 396.24      ")</f>
        <v xml:space="preserve">WCL RR XING 693015C MP 396.24      </v>
      </c>
      <c r="N958">
        <v>0</v>
      </c>
      <c r="O958" t="str">
        <f t="shared" si="291"/>
        <v xml:space="preserve">          </v>
      </c>
      <c r="P95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9" spans="1:16" x14ac:dyDescent="0.25">
      <c r="A959" t="str">
        <f t="shared" si="292"/>
        <v>10</v>
      </c>
      <c r="B959" t="str">
        <f t="shared" si="293"/>
        <v>25</v>
      </c>
      <c r="C959" s="1">
        <v>45285</v>
      </c>
      <c r="D959" t="str">
        <f>CLEAN("8650-00-51")</f>
        <v>8650-00-51</v>
      </c>
      <c r="E959" t="str">
        <f>CLEAN("303  ")</f>
        <v xml:space="preserve">303  </v>
      </c>
      <c r="F959" t="str">
        <f>CLEAN("$0 - $99,999             ")</f>
        <v xml:space="preserve">$0 - $99,999             </v>
      </c>
      <c r="G959" t="str">
        <f>CLEAN("R/R")</f>
        <v>R/R</v>
      </c>
      <c r="H959" t="str">
        <f t="shared" si="294"/>
        <v>NONLET CONSTR/REAL ESTATE</v>
      </c>
      <c r="I959" t="str">
        <f>CLEAN("RR OPS/INSTALL NEW CROSSING SURFACE")</f>
        <v>RR OPS/INSTALL NEW CROSSING SURFACE</v>
      </c>
      <c r="J959" t="str">
        <f>CLEAN("STH 128")</f>
        <v>STH 128</v>
      </c>
      <c r="K959" t="str">
        <f>CLEAN("ST. CROIX                     ")</f>
        <v xml:space="preserve">ST. CROIX                     </v>
      </c>
      <c r="L959" t="str">
        <f>CLEAN("ELMWOOD - STH 64                   ")</f>
        <v xml:space="preserve">ELMWOOD - STH 64                   </v>
      </c>
      <c r="M959" t="str">
        <f>CLEAN("WCL RR XING 693015C MP 396.24      ")</f>
        <v xml:space="preserve">WCL RR XING 693015C MP 396.24      </v>
      </c>
      <c r="N959">
        <v>0</v>
      </c>
      <c r="O959" t="str">
        <f t="shared" si="291"/>
        <v xml:space="preserve">          </v>
      </c>
      <c r="P9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0" spans="1:16" x14ac:dyDescent="0.25">
      <c r="A960" t="str">
        <f t="shared" si="292"/>
        <v>10</v>
      </c>
      <c r="B960" t="str">
        <f t="shared" si="293"/>
        <v>25</v>
      </c>
      <c r="C960" s="1">
        <v>45347</v>
      </c>
      <c r="D960" t="str">
        <f>CLEAN("8758-00-50")</f>
        <v>8758-00-50</v>
      </c>
      <c r="E960" t="str">
        <f>CLEAN("206  ")</f>
        <v xml:space="preserve">206  </v>
      </c>
      <c r="F960" t="str">
        <f>CLEAN("$250,000 - $499,999      ")</f>
        <v xml:space="preserve">$250,000 - $499,999      </v>
      </c>
      <c r="G960" t="str">
        <f>CLEAN("R/R")</f>
        <v>R/R</v>
      </c>
      <c r="H960" t="str">
        <f t="shared" si="294"/>
        <v>NONLET CONSTR/REAL ESTATE</v>
      </c>
      <c r="I960" t="str">
        <f>CLEAN("R/R OPS - SIGNAL REPLACEMENT       ")</f>
        <v xml:space="preserve">R/R OPS - SIGNAL REPLACEMENT       </v>
      </c>
      <c r="J960" t="str">
        <f>CLEAN("CTH C  ")</f>
        <v xml:space="preserve">CTH C  </v>
      </c>
      <c r="K960" t="str">
        <f t="shared" ref="K960:K965" si="295">CLEAN("DOUGLAS                       ")</f>
        <v xml:space="preserve">DOUGLAS                       </v>
      </c>
      <c r="L960" t="str">
        <f>CLEAN("MN STATE LINE - STH 35             ")</f>
        <v xml:space="preserve">MN STATE LINE - STH 35             </v>
      </c>
      <c r="M960" t="str">
        <f>CLEAN("BNSF RR XING 067768H               ")</f>
        <v xml:space="preserve">BNSF RR XING 067768H               </v>
      </c>
      <c r="N960">
        <v>0</v>
      </c>
      <c r="O960" t="str">
        <f t="shared" si="291"/>
        <v xml:space="preserve">          </v>
      </c>
      <c r="P960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61" spans="1:16" x14ac:dyDescent="0.25">
      <c r="A961" t="str">
        <f t="shared" si="292"/>
        <v>10</v>
      </c>
      <c r="B961" t="str">
        <f t="shared" si="293"/>
        <v>25</v>
      </c>
      <c r="C961" s="1">
        <v>45347</v>
      </c>
      <c r="D961" t="str">
        <f>CLEAN("8758-00-51")</f>
        <v>8758-00-51</v>
      </c>
      <c r="E961" t="str">
        <f>CLEAN("206  ")</f>
        <v xml:space="preserve">206  </v>
      </c>
      <c r="F961" t="str">
        <f>CLEAN("$100,000-$249,999        ")</f>
        <v xml:space="preserve">$100,000-$249,999        </v>
      </c>
      <c r="G961" t="str">
        <f>CLEAN("R/R")</f>
        <v>R/R</v>
      </c>
      <c r="H961" t="str">
        <f t="shared" si="294"/>
        <v>NONLET CONSTR/REAL ESTATE</v>
      </c>
      <c r="I961" t="str">
        <f>CLEAN("R/R OPS - REPLACE CROSSING SURFACE ")</f>
        <v xml:space="preserve">R/R OPS - REPLACE CROSSING SURFACE </v>
      </c>
      <c r="J961" t="str">
        <f>CLEAN("CTH C  ")</f>
        <v xml:space="preserve">CTH C  </v>
      </c>
      <c r="K961" t="str">
        <f t="shared" si="295"/>
        <v xml:space="preserve">DOUGLAS                       </v>
      </c>
      <c r="L961" t="str">
        <f>CLEAN("MN STATE LINE - STH 35             ")</f>
        <v xml:space="preserve">MN STATE LINE - STH 35             </v>
      </c>
      <c r="M961" t="str">
        <f>CLEAN("BNSF RR XING 067768H               ")</f>
        <v xml:space="preserve">BNSF RR XING 067768H               </v>
      </c>
      <c r="N961">
        <v>0</v>
      </c>
      <c r="O961" t="str">
        <f t="shared" si="291"/>
        <v xml:space="preserve">          </v>
      </c>
      <c r="P96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62" spans="1:16" x14ac:dyDescent="0.25">
      <c r="A962" t="str">
        <f t="shared" si="292"/>
        <v>10</v>
      </c>
      <c r="B962" t="str">
        <f t="shared" si="293"/>
        <v>25</v>
      </c>
      <c r="C962" s="1">
        <v>45437</v>
      </c>
      <c r="D962" t="str">
        <f>CLEAN("8758-00-52")</f>
        <v>8758-00-52</v>
      </c>
      <c r="E962" t="str">
        <f>CLEAN("207  ")</f>
        <v xml:space="preserve">207  </v>
      </c>
      <c r="F962" t="str">
        <f>CLEAN("$250,000 - $499,999      ")</f>
        <v xml:space="preserve">$250,000 - $499,999      </v>
      </c>
      <c r="G962" t="str">
        <f>CLEAN("R/R")</f>
        <v>R/R</v>
      </c>
      <c r="H962" t="str">
        <f t="shared" si="294"/>
        <v>NONLET CONSTR/REAL ESTATE</v>
      </c>
      <c r="I962" t="str">
        <f>CLEAN("R/R OPS/SAFETY RAIL WARNING DEVICES")</f>
        <v>R/R OPS/SAFETY RAIL WARNING DEVICES</v>
      </c>
      <c r="J962" t="str">
        <f>CLEAN("CTH C  ")</f>
        <v xml:space="preserve">CTH C  </v>
      </c>
      <c r="K962" t="str">
        <f t="shared" si="295"/>
        <v xml:space="preserve">DOUGLAS                       </v>
      </c>
      <c r="L962" t="str">
        <f>CLEAN("DEWEY - STH 35                     ")</f>
        <v xml:space="preserve">DEWEY - STH 35                     </v>
      </c>
      <c r="M962" t="str">
        <f>CLEAN("BNSF RR XING 086402V               ")</f>
        <v xml:space="preserve">BNSF RR XING 086402V               </v>
      </c>
      <c r="N962">
        <v>0</v>
      </c>
      <c r="O962" t="str">
        <f t="shared" si="291"/>
        <v xml:space="preserve">          </v>
      </c>
      <c r="P962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963" spans="1:16" x14ac:dyDescent="0.25">
      <c r="A963" t="str">
        <f t="shared" si="292"/>
        <v>10</v>
      </c>
      <c r="B963" t="str">
        <f t="shared" si="293"/>
        <v>25</v>
      </c>
      <c r="C963" s="1">
        <v>45426</v>
      </c>
      <c r="D963" t="str">
        <f>CLEAN("8758-00-72")</f>
        <v>8758-00-72</v>
      </c>
      <c r="E963" t="str">
        <f>CLEAN("206  ")</f>
        <v xml:space="preserve">206  </v>
      </c>
      <c r="F963" t="str">
        <f>CLEAN("$4,000,000 - $4,999,999  ")</f>
        <v xml:space="preserve">$4,000,000 - $4,999,999  </v>
      </c>
      <c r="G963" t="str">
        <f>CLEAN("LET")</f>
        <v>LET</v>
      </c>
      <c r="H963" t="str">
        <f>CLEAN("LET CONSTRUCTION         ")</f>
        <v xml:space="preserve">LET CONSTRUCTION         </v>
      </c>
      <c r="I963" t="str">
        <f>CLEAN("CONSTRUCTION/RECONSTRUCT           ")</f>
        <v xml:space="preserve">CONSTRUCTION/RECONSTRUCT           </v>
      </c>
      <c r="J963" t="str">
        <f>CLEAN("CTH C  ")</f>
        <v xml:space="preserve">CTH C  </v>
      </c>
      <c r="K963" t="str">
        <f t="shared" si="295"/>
        <v xml:space="preserve">DOUGLAS                       </v>
      </c>
      <c r="L963" t="str">
        <f>CLEAN("MN STATE LINE - STH 35             ")</f>
        <v xml:space="preserve">MN STATE LINE - STH 35             </v>
      </c>
      <c r="M963" t="str">
        <f>CLEAN("MN STATE LINE TO BARNES ROAD       ")</f>
        <v xml:space="preserve">MN STATE LINE TO BARNES ROAD       </v>
      </c>
      <c r="N963">
        <v>3.58</v>
      </c>
      <c r="O963" t="str">
        <f t="shared" si="291"/>
        <v xml:space="preserve">          </v>
      </c>
      <c r="P96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64" spans="1:16" x14ac:dyDescent="0.25">
      <c r="A964" t="str">
        <f t="shared" si="292"/>
        <v>10</v>
      </c>
      <c r="B964" t="str">
        <f t="shared" si="293"/>
        <v>25</v>
      </c>
      <c r="C964" s="1">
        <v>45437</v>
      </c>
      <c r="D964" t="str">
        <f>CLEAN("8759-00-50")</f>
        <v>8759-00-50</v>
      </c>
      <c r="E964" t="str">
        <f>CLEAN("207  ")</f>
        <v xml:space="preserve">207  </v>
      </c>
      <c r="F964" t="str">
        <f>CLEAN("$250,000 - $499,999      ")</f>
        <v xml:space="preserve">$250,000 - $499,999      </v>
      </c>
      <c r="G964" t="str">
        <f>CLEAN("R/R")</f>
        <v>R/R</v>
      </c>
      <c r="H964" t="str">
        <f>CLEAN("NONLET CONSTR/REAL ESTATE")</f>
        <v>NONLET CONSTR/REAL ESTATE</v>
      </c>
      <c r="I964" t="str">
        <f>CLEAN("R/R OPS/SAFETY RAIL WARNING DEVICES")</f>
        <v>R/R OPS/SAFETY RAIL WARNING DEVICES</v>
      </c>
      <c r="J964" t="str">
        <f>CLEAN("CTH W  ")</f>
        <v xml:space="preserve">CTH W  </v>
      </c>
      <c r="K964" t="str">
        <f t="shared" si="295"/>
        <v xml:space="preserve">DOUGLAS                       </v>
      </c>
      <c r="L964" t="str">
        <f>CLEAN("FOXBORO - DEWEY                    ")</f>
        <v xml:space="preserve">FOXBORO - DEWEY                    </v>
      </c>
      <c r="M964" t="str">
        <f>CLEAN("BNSF RR XING 061443D               ")</f>
        <v xml:space="preserve">BNSF RR XING 061443D               </v>
      </c>
      <c r="N964">
        <v>0</v>
      </c>
      <c r="O964" t="str">
        <f t="shared" si="291"/>
        <v xml:space="preserve">          </v>
      </c>
      <c r="P964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965" spans="1:16" x14ac:dyDescent="0.25">
      <c r="A965" t="str">
        <f t="shared" si="292"/>
        <v>10</v>
      </c>
      <c r="B965" t="str">
        <f t="shared" si="293"/>
        <v>25</v>
      </c>
      <c r="C965" s="1">
        <v>45482</v>
      </c>
      <c r="D965" t="str">
        <f>CLEAN("8760-00-71")</f>
        <v>8760-00-71</v>
      </c>
      <c r="E965" t="str">
        <f>CLEAN("303  ")</f>
        <v xml:space="preserve">303  </v>
      </c>
      <c r="F965" t="str">
        <f>CLEAN("$4,000,000 - $4,999,999  ")</f>
        <v xml:space="preserve">$4,000,000 - $4,999,999  </v>
      </c>
      <c r="G965" t="str">
        <f>CLEAN("LET")</f>
        <v>LET</v>
      </c>
      <c r="H965" t="str">
        <f>CLEAN("LET CONSTRUCTION         ")</f>
        <v xml:space="preserve">LET CONSTRUCTION         </v>
      </c>
      <c r="I965" t="str">
        <f>CLEAN("CONSTRUCTION/RESURFACE             ")</f>
        <v xml:space="preserve">CONSTRUCTION/RESURFACE             </v>
      </c>
      <c r="J965" t="str">
        <f>CLEAN("STH 105")</f>
        <v>STH 105</v>
      </c>
      <c r="K965" t="str">
        <f t="shared" si="295"/>
        <v xml:space="preserve">DOUGLAS                       </v>
      </c>
      <c r="L965" t="str">
        <f>CLEAN("OLIVER - SUPERIOR                  ")</f>
        <v xml:space="preserve">OLIVER - SUPERIOR                  </v>
      </c>
      <c r="M965" t="str">
        <f>CLEAN("MN/WI STATE LINE TO STH 35         ")</f>
        <v xml:space="preserve">MN/WI STATE LINE TO STH 35         </v>
      </c>
      <c r="N965">
        <v>4.6820000000000004</v>
      </c>
      <c r="O965" t="str">
        <f t="shared" si="291"/>
        <v xml:space="preserve">          </v>
      </c>
      <c r="P9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6" spans="1:16" x14ac:dyDescent="0.25">
      <c r="A966" t="str">
        <f t="shared" si="292"/>
        <v>10</v>
      </c>
      <c r="B966" t="str">
        <f t="shared" si="293"/>
        <v>25</v>
      </c>
      <c r="C966" s="1">
        <v>45608</v>
      </c>
      <c r="D966" t="str">
        <f>CLEAN("8773-00-72")</f>
        <v>8773-00-72</v>
      </c>
      <c r="E966" t="str">
        <f>CLEAN("206  ")</f>
        <v xml:space="preserve">206  </v>
      </c>
      <c r="F966" t="str">
        <f>CLEAN("$3,000,000 - $3,999,999  ")</f>
        <v xml:space="preserve">$3,000,000 - $3,999,999  </v>
      </c>
      <c r="G966" t="str">
        <f>CLEAN("LET")</f>
        <v>LET</v>
      </c>
      <c r="H966" t="str">
        <f>CLEAN("LET CONSTRUCTION         ")</f>
        <v xml:space="preserve">LET CONSTRUCTION         </v>
      </c>
      <c r="I966" t="str">
        <f>CLEAN("CONSTRUCTION/RECONSTRUCTION        ")</f>
        <v xml:space="preserve">CONSTRUCTION/RECONSTRUCTION        </v>
      </c>
      <c r="J966" t="str">
        <f>CLEAN("CTH E  ")</f>
        <v xml:space="preserve">CTH E  </v>
      </c>
      <c r="K966" t="str">
        <f>CLEAN("SAWYER                        ")</f>
        <v xml:space="preserve">SAWYER                        </v>
      </c>
      <c r="L966" t="str">
        <f>CLEAN("STH 70 - CTH B                     ")</f>
        <v xml:space="preserve">STH 70 - CTH B                     </v>
      </c>
      <c r="M966" t="str">
        <f>CLEAN("NORWIS ROAD TO CTH B               ")</f>
        <v xml:space="preserve">NORWIS ROAD TO CTH B               </v>
      </c>
      <c r="N966">
        <v>3.29</v>
      </c>
      <c r="O966" t="str">
        <f t="shared" ref="O966:O983" si="296">CLEAN("          ")</f>
        <v xml:space="preserve">          </v>
      </c>
      <c r="P96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67" spans="1:16" x14ac:dyDescent="0.25">
      <c r="A967" t="str">
        <f t="shared" si="292"/>
        <v>10</v>
      </c>
      <c r="B967" t="str">
        <f t="shared" si="293"/>
        <v>25</v>
      </c>
      <c r="C967" s="1">
        <v>45426</v>
      </c>
      <c r="D967" t="str">
        <f>CLEAN("8777-00-70")</f>
        <v>8777-00-70</v>
      </c>
      <c r="E967" t="str">
        <f>CLEAN("205  ")</f>
        <v xml:space="preserve">205  </v>
      </c>
      <c r="F967" t="str">
        <f>CLEAN("$250,000 - $499,999      ")</f>
        <v xml:space="preserve">$250,000 - $499,999      </v>
      </c>
      <c r="G967" t="str">
        <f>CLEAN("LET")</f>
        <v>LET</v>
      </c>
      <c r="H967" t="str">
        <f>CLEAN("LET CONSTRUCTION         ")</f>
        <v xml:space="preserve">LET CONSTRUCTION         </v>
      </c>
      <c r="I967" t="str">
        <f>CLEAN("CONSTRUCTION/BRRHB                 ")</f>
        <v xml:space="preserve">CONSTRUCTION/BRRHB                 </v>
      </c>
      <c r="J967" t="str">
        <f>CLEAN("CTH CC ")</f>
        <v xml:space="preserve">CTH CC </v>
      </c>
      <c r="K967" t="str">
        <f>CLEAN("SAWYER                        ")</f>
        <v xml:space="preserve">SAWYER                        </v>
      </c>
      <c r="L967" t="str">
        <f>CLEAN("COUDERAY TO CTH B                  ")</f>
        <v xml:space="preserve">COUDERAY TO CTH B                  </v>
      </c>
      <c r="M967" t="str">
        <f>CLEAN("CHIPPEWA FLOWAGE BRIDGE B-57-0049  ")</f>
        <v xml:space="preserve">CHIPPEWA FLOWAGE BRIDGE B-57-0049  </v>
      </c>
      <c r="N967">
        <v>0</v>
      </c>
      <c r="O967" t="str">
        <f t="shared" si="296"/>
        <v xml:space="preserve">          </v>
      </c>
      <c r="P96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68" spans="1:16" x14ac:dyDescent="0.25">
      <c r="A968" t="str">
        <f t="shared" si="292"/>
        <v>10</v>
      </c>
      <c r="B968" t="str">
        <f t="shared" si="293"/>
        <v>25</v>
      </c>
      <c r="C968" s="1">
        <v>45426</v>
      </c>
      <c r="D968" t="str">
        <f>CLEAN("8783-00-70")</f>
        <v>8783-00-70</v>
      </c>
      <c r="E968" t="str">
        <f>CLEAN("205  ")</f>
        <v xml:space="preserve">205  </v>
      </c>
      <c r="F968" t="str">
        <f>CLEAN("$500,000 - $749,999      ")</f>
        <v xml:space="preserve">$500,000 - $749,999      </v>
      </c>
      <c r="G968" t="str">
        <f>CLEAN("LET")</f>
        <v>LET</v>
      </c>
      <c r="H968" t="str">
        <f>CLEAN("LET CONSTRUCTION         ")</f>
        <v xml:space="preserve">LET CONSTRUCTION         </v>
      </c>
      <c r="I968" t="str">
        <f>CLEAN("CONSTRUCTION/BRRHB/DECK REPLACEMENT")</f>
        <v>CONSTRUCTION/BRRHB/DECK REPLACEMENT</v>
      </c>
      <c r="J968" t="str">
        <f>CLEAN("CTH C  ")</f>
        <v xml:space="preserve">CTH C  </v>
      </c>
      <c r="K968" t="str">
        <f>CLEAN("SAWYER                        ")</f>
        <v xml:space="preserve">SAWYER                        </v>
      </c>
      <c r="L968" t="str">
        <f>CLEAN("EXELAND - STH 70                   ")</f>
        <v xml:space="preserve">EXELAND - STH 70                   </v>
      </c>
      <c r="M968" t="str">
        <f>CLEAN("COUDERAY RIVER BRIDGE B-57-0023    ")</f>
        <v xml:space="preserve">COUDERAY RIVER BRIDGE B-57-0023    </v>
      </c>
      <c r="N968">
        <v>0</v>
      </c>
      <c r="O968" t="str">
        <f t="shared" si="296"/>
        <v xml:space="preserve">          </v>
      </c>
      <c r="P96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69" spans="1:16" x14ac:dyDescent="0.25">
      <c r="A969" t="str">
        <f t="shared" si="292"/>
        <v>10</v>
      </c>
      <c r="B969" t="str">
        <f t="shared" si="293"/>
        <v>25</v>
      </c>
      <c r="C969" s="1">
        <v>45608</v>
      </c>
      <c r="D969" t="str">
        <f>CLEAN("8800-00-70")</f>
        <v>8800-00-70</v>
      </c>
      <c r="E969" t="str">
        <f>CLEAN("206  ")</f>
        <v xml:space="preserve">206  </v>
      </c>
      <c r="F969" t="str">
        <f>CLEAN("$1,000,000 - $1,999,999  ")</f>
        <v xml:space="preserve">$1,000,000 - $1,999,999  </v>
      </c>
      <c r="G969" t="str">
        <f>CLEAN("LET")</f>
        <v>LET</v>
      </c>
      <c r="H969" t="str">
        <f>CLEAN("LET CONSTRUCTION         ")</f>
        <v xml:space="preserve">LET CONSTRUCTION         </v>
      </c>
      <c r="I969" t="str">
        <f>CLEAN("CONSTRUCTION/RECONSTRUCTION        ")</f>
        <v xml:space="preserve">CONSTRUCTION/RECONSTRUCTION        </v>
      </c>
      <c r="J969" t="str">
        <f>CLEAN("CTH K  ")</f>
        <v xml:space="preserve">CTH K  </v>
      </c>
      <c r="K969" t="str">
        <f>CLEAN("WASHBURN                      ")</f>
        <v xml:space="preserve">WASHBURN                      </v>
      </c>
      <c r="L969" t="str">
        <f>CLEAN("SPOONER - STH 77                   ")</f>
        <v xml:space="preserve">SPOONER - STH 77                   </v>
      </c>
      <c r="M969" t="str">
        <f>CLEAN("USH 63 TO SUNSET LANE              ")</f>
        <v xml:space="preserve">USH 63 TO SUNSET LANE              </v>
      </c>
      <c r="N969">
        <v>2.37</v>
      </c>
      <c r="O969" t="str">
        <f t="shared" si="296"/>
        <v xml:space="preserve">          </v>
      </c>
      <c r="P96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70" spans="1:16" x14ac:dyDescent="0.25">
      <c r="A970" t="str">
        <f t="shared" si="292"/>
        <v>10</v>
      </c>
      <c r="B970" t="str">
        <f t="shared" si="293"/>
        <v>25</v>
      </c>
      <c r="C970" s="1">
        <v>45437</v>
      </c>
      <c r="D970" t="str">
        <f>CLEAN("8820-00-20")</f>
        <v>8820-00-20</v>
      </c>
      <c r="E970" t="str">
        <f>CLEAN("303  ")</f>
        <v xml:space="preserve">303  </v>
      </c>
      <c r="F970" t="str">
        <f>CLEAN("$0 - $99,999             ")</f>
        <v xml:space="preserve">$0 - $99,999             </v>
      </c>
      <c r="G970" t="str">
        <f>CLEAN("R/E")</f>
        <v>R/E</v>
      </c>
      <c r="H970" t="str">
        <f>CLEAN("NONLET CONSTR/REAL ESTATE")</f>
        <v>NONLET CONSTR/REAL ESTATE</v>
      </c>
      <c r="I970" t="str">
        <f>CLEAN("REAL ESTATE ACQ/CURB UPGRADES      ")</f>
        <v xml:space="preserve">REAL ESTATE ACQ/CURB UPGRADES      </v>
      </c>
      <c r="J970" t="str">
        <f>CLEAN("STH 048")</f>
        <v>STH 048</v>
      </c>
      <c r="K970" t="str">
        <f>CLEAN("POLK                          ")</f>
        <v xml:space="preserve">POLK                          </v>
      </c>
      <c r="L970" t="str">
        <f>CLEAN("FREDERIC - MCKINLEY                ")</f>
        <v xml:space="preserve">FREDERIC - MCKINLEY                </v>
      </c>
      <c r="M970" t="str">
        <f>CLEAN("STH 35 TO BASS LAKE LANE           ")</f>
        <v xml:space="preserve">STH 35 TO BASS LAKE LANE           </v>
      </c>
      <c r="N970">
        <v>11.14</v>
      </c>
      <c r="O970" t="str">
        <f t="shared" si="296"/>
        <v xml:space="preserve">          </v>
      </c>
      <c r="P97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71" spans="1:16" x14ac:dyDescent="0.25">
      <c r="A971" t="str">
        <f t="shared" si="292"/>
        <v>10</v>
      </c>
      <c r="B971" t="str">
        <f t="shared" si="293"/>
        <v>25</v>
      </c>
      <c r="C971" s="1">
        <v>45316</v>
      </c>
      <c r="D971" t="str">
        <f>CLEAN("8840-00-20")</f>
        <v>8840-00-20</v>
      </c>
      <c r="E971" t="str">
        <f>CLEAN("303  ")</f>
        <v xml:space="preserve">303  </v>
      </c>
      <c r="F971" t="str">
        <f>CLEAN("$0 - $99,999             ")</f>
        <v xml:space="preserve">$0 - $99,999             </v>
      </c>
      <c r="G971" t="str">
        <f>CLEAN("R/E")</f>
        <v>R/E</v>
      </c>
      <c r="H971" t="str">
        <f>CLEAN("NONLET CONSTR/REAL ESTATE")</f>
        <v>NONLET CONSTR/REAL ESTATE</v>
      </c>
      <c r="I971" t="str">
        <f>CLEAN("REAL ESTATE ACQ/CIR/RESURFACE      ")</f>
        <v xml:space="preserve">REAL ESTATE ACQ/CIR/RESURFACE      </v>
      </c>
      <c r="J971" t="str">
        <f>CLEAN("STH 087")</f>
        <v>STH 087</v>
      </c>
      <c r="K971" t="str">
        <f>CLEAN("POLK                          ")</f>
        <v xml:space="preserve">POLK                          </v>
      </c>
      <c r="L971" t="str">
        <f>CLEAN("ST. CROIX FALLS - GRANTSBURG       ")</f>
        <v xml:space="preserve">ST. CROIX FALLS - GRANTSBURG       </v>
      </c>
      <c r="M971" t="str">
        <f>CLEAN("USH 8 TO 240' N OF MINNESOTA ST    ")</f>
        <v xml:space="preserve">USH 8 TO 240' N OF MINNESOTA ST    </v>
      </c>
      <c r="N971">
        <v>1.1100000000000001</v>
      </c>
      <c r="O971" t="str">
        <f t="shared" si="296"/>
        <v xml:space="preserve">          </v>
      </c>
      <c r="P97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72" spans="1:16" x14ac:dyDescent="0.25">
      <c r="A972" t="str">
        <f t="shared" si="292"/>
        <v>10</v>
      </c>
      <c r="B972" t="str">
        <f t="shared" si="293"/>
        <v>25</v>
      </c>
      <c r="C972" s="1">
        <v>45426</v>
      </c>
      <c r="D972" t="str">
        <f>CLEAN("8857-00-71")</f>
        <v>8857-00-71</v>
      </c>
      <c r="E972" t="str">
        <f>CLEAN("206  ")</f>
        <v xml:space="preserve">206  </v>
      </c>
      <c r="F972" t="str">
        <f>CLEAN("$3,000,000 - $3,999,999  ")</f>
        <v xml:space="preserve">$3,000,000 - $3,999,999  </v>
      </c>
      <c r="G972" t="str">
        <f t="shared" ref="G972:G978" si="297">CLEAN("LET")</f>
        <v>LET</v>
      </c>
      <c r="H972" t="str">
        <f t="shared" ref="H972:H978" si="298">CLEAN("LET CONSTRUCTION         ")</f>
        <v xml:space="preserve">LET CONSTRUCTION         </v>
      </c>
      <c r="I972" t="str">
        <f>CLEAN("CONSTRUCTION/PVRPLA                ")</f>
        <v xml:space="preserve">CONSTRUCTION/PVRPLA                </v>
      </c>
      <c r="J972" t="str">
        <f>CLEAN("CTH B  ")</f>
        <v xml:space="preserve">CTH B  </v>
      </c>
      <c r="K972" t="str">
        <f>CLEAN("POLK                          ")</f>
        <v xml:space="preserve">POLK                          </v>
      </c>
      <c r="L972" t="str">
        <f>CLEAN("ATLAS - LUCK                       ")</f>
        <v xml:space="preserve">ATLAS - LUCK                       </v>
      </c>
      <c r="M972" t="str">
        <f>CLEAN("CTH Z TO STH 35                    ")</f>
        <v xml:space="preserve">CTH Z TO STH 35                    </v>
      </c>
      <c r="N972">
        <v>7.18</v>
      </c>
      <c r="O972" t="str">
        <f t="shared" si="296"/>
        <v xml:space="preserve">          </v>
      </c>
      <c r="P972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73" spans="1:16" x14ac:dyDescent="0.25">
      <c r="A973" t="str">
        <f t="shared" si="292"/>
        <v>10</v>
      </c>
      <c r="B973" t="str">
        <f t="shared" si="293"/>
        <v>25</v>
      </c>
      <c r="C973" s="1">
        <v>45636</v>
      </c>
      <c r="D973" t="str">
        <f>CLEAN("8864-00-70")</f>
        <v>8864-00-70</v>
      </c>
      <c r="E973" t="str">
        <f>CLEAN("206  ")</f>
        <v xml:space="preserve">206  </v>
      </c>
      <c r="F973" t="str">
        <f>CLEAN("$750,000 - $999,999      ")</f>
        <v xml:space="preserve">$750,000 - $999,999      </v>
      </c>
      <c r="G973" t="str">
        <f t="shared" si="297"/>
        <v>LET</v>
      </c>
      <c r="H973" t="str">
        <f t="shared" si="298"/>
        <v xml:space="preserve">LET CONSTRUCTION         </v>
      </c>
      <c r="I973" t="str">
        <f>CLEAN("CONSTRUCTION/RESURFACE             ")</f>
        <v xml:space="preserve">CONSTRUCTION/RESURFACE             </v>
      </c>
      <c r="J973" t="str">
        <f>CLEAN("CTH F  ")</f>
        <v xml:space="preserve">CTH F  </v>
      </c>
      <c r="K973" t="str">
        <f>CLEAN("POLK                          ")</f>
        <v xml:space="preserve">POLK                          </v>
      </c>
      <c r="L973" t="str">
        <f>CLEAN("DRESSER - AMERY                    ")</f>
        <v xml:space="preserve">DRESSER - AMERY                    </v>
      </c>
      <c r="M973" t="str">
        <f>CLEAN("VIEW LANE TO STH 65                ")</f>
        <v xml:space="preserve">VIEW LANE TO STH 65                </v>
      </c>
      <c r="N973">
        <v>5.48</v>
      </c>
      <c r="O973" t="str">
        <f t="shared" si="296"/>
        <v xml:space="preserve">          </v>
      </c>
      <c r="P97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74" spans="1:16" x14ac:dyDescent="0.25">
      <c r="A974" t="str">
        <f t="shared" si="292"/>
        <v>10</v>
      </c>
      <c r="B974" t="str">
        <f t="shared" si="293"/>
        <v>25</v>
      </c>
      <c r="C974" s="1">
        <v>45272</v>
      </c>
      <c r="D974" t="str">
        <f>CLEAN("8885-03-70")</f>
        <v>8885-03-70</v>
      </c>
      <c r="E974" t="str">
        <f>CLEAN("205  ")</f>
        <v xml:space="preserve">205  </v>
      </c>
      <c r="F974" t="str">
        <f>CLEAN("$250,000 - $499,999      ")</f>
        <v xml:space="preserve">$250,000 - $499,999      </v>
      </c>
      <c r="G974" t="str">
        <f t="shared" si="297"/>
        <v>LET</v>
      </c>
      <c r="H974" t="str">
        <f t="shared" si="298"/>
        <v xml:space="preserve">LET CONSTRUCTION         </v>
      </c>
      <c r="I974" t="str">
        <f>CLEAN("CONSTRUCTION/BRIDGE REPLACEMENT    ")</f>
        <v xml:space="preserve">CONSTRUCTION/BRIDGE REPLACEMENT    </v>
      </c>
      <c r="J974" t="str">
        <f>CLEAN("CTH F  ")</f>
        <v xml:space="preserve">CTH F  </v>
      </c>
      <c r="K974" t="str">
        <f>CLEAN("TAYLOR                        ")</f>
        <v xml:space="preserve">TAYLOR                        </v>
      </c>
      <c r="L974" t="str">
        <f>CLEAN("LUBLIN - STH 64                    ")</f>
        <v xml:space="preserve">LUBLIN - STH 64                    </v>
      </c>
      <c r="M974" t="str">
        <f>CLEAN("N FORK EAU CLAIRE RVR BR B-60-0155 ")</f>
        <v xml:space="preserve">N FORK EAU CLAIRE RVR BR B-60-0155 </v>
      </c>
      <c r="N974">
        <v>2.5000000000000001E-2</v>
      </c>
      <c r="O974" t="str">
        <f t="shared" si="296"/>
        <v xml:space="preserve">          </v>
      </c>
      <c r="P97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75" spans="1:16" x14ac:dyDescent="0.25">
      <c r="A975" t="str">
        <f t="shared" si="292"/>
        <v>10</v>
      </c>
      <c r="B975" t="str">
        <f t="shared" si="293"/>
        <v>25</v>
      </c>
      <c r="C975" s="1">
        <v>45608</v>
      </c>
      <c r="D975" t="str">
        <f>CLEAN("8887-03-76")</f>
        <v>8887-03-76</v>
      </c>
      <c r="E975" t="str">
        <f>CLEAN("205  ")</f>
        <v xml:space="preserve">205  </v>
      </c>
      <c r="F975" t="str">
        <f>CLEAN("$750,000 - $999,999      ")</f>
        <v xml:space="preserve">$750,000 - $999,999      </v>
      </c>
      <c r="G975" t="str">
        <f t="shared" si="297"/>
        <v>LET</v>
      </c>
      <c r="H975" t="str">
        <f t="shared" si="298"/>
        <v xml:space="preserve">LET CONSTRUCTION         </v>
      </c>
      <c r="I975" t="str">
        <f>CLEAN("CONSTRUCTION/BRIDGE REPLACEMENT    ")</f>
        <v xml:space="preserve">CONSTRUCTION/BRIDGE REPLACEMENT    </v>
      </c>
      <c r="J975" t="str">
        <f>CLEAN("CTH A  ")</f>
        <v xml:space="preserve">CTH A  </v>
      </c>
      <c r="K975" t="str">
        <f>CLEAN("TAYLOR                        ")</f>
        <v xml:space="preserve">TAYLOR                        </v>
      </c>
      <c r="L975" t="str">
        <f>CLEAN("LUBLIN - STETSONVILLE              ")</f>
        <v xml:space="preserve">LUBLIN - STETSONVILLE              </v>
      </c>
      <c r="M975" t="str">
        <f>CLEAN("PINE CREEK BRIDGE B-60-0157        ")</f>
        <v xml:space="preserve">PINE CREEK BRIDGE B-60-0157        </v>
      </c>
      <c r="N975">
        <v>0</v>
      </c>
      <c r="O975" t="str">
        <f t="shared" si="296"/>
        <v xml:space="preserve">          </v>
      </c>
      <c r="P97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76" spans="1:16" x14ac:dyDescent="0.25">
      <c r="A976" t="str">
        <f t="shared" si="292"/>
        <v>10</v>
      </c>
      <c r="B976" t="str">
        <f t="shared" si="293"/>
        <v>25</v>
      </c>
      <c r="C976" s="1">
        <v>45608</v>
      </c>
      <c r="D976" t="str">
        <f>CLEAN("8890-00-72")</f>
        <v>8890-00-72</v>
      </c>
      <c r="E976" t="str">
        <f>CLEAN("205  ")</f>
        <v xml:space="preserve">205  </v>
      </c>
      <c r="F976" t="str">
        <f>CLEAN("$500,000 - $749,999      ")</f>
        <v xml:space="preserve">$500,000 - $749,999      </v>
      </c>
      <c r="G976" t="str">
        <f t="shared" si="297"/>
        <v>LET</v>
      </c>
      <c r="H976" t="str">
        <f t="shared" si="298"/>
        <v xml:space="preserve">LET CONSTRUCTION         </v>
      </c>
      <c r="I976" t="str">
        <f>CLEAN("CONSTRUCTION/BRIDGE REPLACEMENT    ")</f>
        <v xml:space="preserve">CONSTRUCTION/BRIDGE REPLACEMENT    </v>
      </c>
      <c r="J976" t="str">
        <f>CLEAN("LOC STR")</f>
        <v>LOC STR</v>
      </c>
      <c r="K976" t="str">
        <f>CLEAN("TAYLOR                        ")</f>
        <v xml:space="preserve">TAYLOR                        </v>
      </c>
      <c r="L976" t="str">
        <f>CLEAN("T MEDFORD, CENTER AVENUE           ")</f>
        <v xml:space="preserve">T MEDFORD, CENTER AVENUE           </v>
      </c>
      <c r="M976" t="str">
        <f>CLEAN("BLACK RIVER BRIDGE B-60-0158       ")</f>
        <v xml:space="preserve">BLACK RIVER BRIDGE B-60-0158       </v>
      </c>
      <c r="N976">
        <v>0</v>
      </c>
      <c r="O976" t="str">
        <f t="shared" si="296"/>
        <v xml:space="preserve">          </v>
      </c>
      <c r="P97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77" spans="1:16" x14ac:dyDescent="0.25">
      <c r="A977" t="str">
        <f t="shared" si="292"/>
        <v>10</v>
      </c>
      <c r="B977" t="str">
        <f t="shared" si="293"/>
        <v>25</v>
      </c>
      <c r="C977" s="1">
        <v>45426</v>
      </c>
      <c r="D977" t="str">
        <f>CLEAN("8895-00-14")</f>
        <v>8895-00-14</v>
      </c>
      <c r="E977" t="str">
        <f>CLEAN("206  ")</f>
        <v xml:space="preserve">206  </v>
      </c>
      <c r="F977" t="str">
        <f>CLEAN("$1,000,000 - $1,999,999  ")</f>
        <v xml:space="preserve">$1,000,000 - $1,999,999  </v>
      </c>
      <c r="G977" t="str">
        <f t="shared" si="297"/>
        <v>LET</v>
      </c>
      <c r="H977" t="str">
        <f t="shared" si="298"/>
        <v xml:space="preserve">LET CONSTRUCTION         </v>
      </c>
      <c r="I977" t="str">
        <f>CLEAN("CONSTRUCTION/RECONSTRUCT           ")</f>
        <v xml:space="preserve">CONSTRUCTION/RECONSTRUCT           </v>
      </c>
      <c r="J977" t="str">
        <f>CLEAN("LOC STR")</f>
        <v>LOC STR</v>
      </c>
      <c r="K977" t="str">
        <f>CLEAN("ASHLAND                       ")</f>
        <v xml:space="preserve">ASHLAND                       </v>
      </c>
      <c r="L977" t="str">
        <f>CLEAN("C ASHLAND, PRENTICE AVE            ")</f>
        <v xml:space="preserve">C ASHLAND, PRENTICE AVE            </v>
      </c>
      <c r="M977" t="str">
        <f>CLEAN("11TH STREET E TO 6TH STREET E      ")</f>
        <v xml:space="preserve">11TH STREET E TO 6TH STREET E      </v>
      </c>
      <c r="N977">
        <v>0.35</v>
      </c>
      <c r="O977" t="str">
        <f t="shared" si="296"/>
        <v xml:space="preserve">          </v>
      </c>
      <c r="P977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78" spans="1:16" x14ac:dyDescent="0.25">
      <c r="A978" t="str">
        <f t="shared" si="292"/>
        <v>10</v>
      </c>
      <c r="B978" t="str">
        <f t="shared" si="293"/>
        <v>25</v>
      </c>
      <c r="C978" s="1">
        <v>45636</v>
      </c>
      <c r="D978" t="str">
        <f>CLEAN("8907-00-71")</f>
        <v>8907-00-71</v>
      </c>
      <c r="E978" t="str">
        <f>CLEAN("205  ")</f>
        <v xml:space="preserve">205  </v>
      </c>
      <c r="F978" t="str">
        <f>CLEAN("$250,000 - $499,999      ")</f>
        <v xml:space="preserve">$250,000 - $499,999      </v>
      </c>
      <c r="G978" t="str">
        <f t="shared" si="297"/>
        <v>LET</v>
      </c>
      <c r="H978" t="str">
        <f t="shared" si="298"/>
        <v xml:space="preserve">LET CONSTRUCTION         </v>
      </c>
      <c r="I978" t="str">
        <f>CLEAN("CONSTRUCTION/BRIDGE REPLACEMENT    ")</f>
        <v xml:space="preserve">CONSTRUCTION/BRIDGE REPLACEMENT    </v>
      </c>
      <c r="J978" t="str">
        <f>CLEAN("LOC STR")</f>
        <v>LOC STR</v>
      </c>
      <c r="K978" t="str">
        <f>CLEAN("CHIPPEWA                      ")</f>
        <v xml:space="preserve">CHIPPEWA                      </v>
      </c>
      <c r="L978" t="str">
        <f>CLEAN("T BLOOMER, 225TH AVENUE            ")</f>
        <v xml:space="preserve">T BLOOMER, 225TH AVENUE            </v>
      </c>
      <c r="M978" t="str">
        <f>CLEAN("DUNCAN CREEK BRIDGE B-09-0312      ")</f>
        <v xml:space="preserve">DUNCAN CREEK BRIDGE B-09-0312      </v>
      </c>
      <c r="N978">
        <v>0</v>
      </c>
      <c r="O978" t="str">
        <f t="shared" si="296"/>
        <v xml:space="preserve">          </v>
      </c>
      <c r="P97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79" spans="1:16" x14ac:dyDescent="0.25">
      <c r="A979" t="str">
        <f t="shared" si="292"/>
        <v>10</v>
      </c>
      <c r="B979" t="str">
        <f t="shared" si="293"/>
        <v>25</v>
      </c>
      <c r="C979" s="1">
        <v>45316</v>
      </c>
      <c r="D979" t="str">
        <f>CLEAN("8923-06-50")</f>
        <v>8923-06-50</v>
      </c>
      <c r="E979" t="str">
        <f>CLEAN("206  ")</f>
        <v xml:space="preserve">206  </v>
      </c>
      <c r="F979" t="str">
        <f>CLEAN("$100,000-$249,999        ")</f>
        <v xml:space="preserve">$100,000-$249,999        </v>
      </c>
      <c r="G979" t="str">
        <f>CLEAN("R/R")</f>
        <v>R/R</v>
      </c>
      <c r="H979" t="str">
        <f>CLEAN("NONLET CONSTR/REAL ESTATE")</f>
        <v>NONLET CONSTR/REAL ESTATE</v>
      </c>
      <c r="I979" t="str">
        <f>CLEAN("RR OPS/TEMPORARY SIGNALS           ")</f>
        <v xml:space="preserve">RR OPS/TEMPORARY SIGNALS           </v>
      </c>
      <c r="J979" t="str">
        <f>CLEAN("CTH B  ")</f>
        <v xml:space="preserve">CTH B  </v>
      </c>
      <c r="K979" t="str">
        <f>CLEAN("DUNN                          ")</f>
        <v xml:space="preserve">DUNN                          </v>
      </c>
      <c r="L979" t="str">
        <f>CLEAN("CO DUNN, CTH B                     ")</f>
        <v xml:space="preserve">CO DUNN, CTH B                     </v>
      </c>
      <c r="M979" t="str">
        <f>CLEAN("UP RR XING 183913W                 ")</f>
        <v xml:space="preserve">UP RR XING 183913W                 </v>
      </c>
      <c r="N979">
        <v>0</v>
      </c>
      <c r="O979" t="str">
        <f t="shared" si="296"/>
        <v xml:space="preserve">          </v>
      </c>
      <c r="P979" t="str">
        <f>CLEAN("LOCAL-NON STP URBAN/RURAL                                                                           ")</f>
        <v xml:space="preserve">LOCAL-NON STP URBAN/RURAL                                                                           </v>
      </c>
    </row>
    <row r="980" spans="1:16" x14ac:dyDescent="0.25">
      <c r="A980" t="str">
        <f t="shared" si="292"/>
        <v>10</v>
      </c>
      <c r="B980" t="str">
        <f t="shared" si="293"/>
        <v>25</v>
      </c>
      <c r="C980" s="1">
        <v>45316</v>
      </c>
      <c r="D980" t="str">
        <f>CLEAN("8923-06-51")</f>
        <v>8923-06-51</v>
      </c>
      <c r="E980" t="str">
        <f>CLEAN("206  ")</f>
        <v xml:space="preserve">206  </v>
      </c>
      <c r="F980" t="str">
        <f>CLEAN("$100,000-$249,999        ")</f>
        <v xml:space="preserve">$100,000-$249,999        </v>
      </c>
      <c r="G980" t="str">
        <f>CLEAN("R/R")</f>
        <v>R/R</v>
      </c>
      <c r="H980" t="str">
        <f>CLEAN("NONLET CONSTR/REAL ESTATE")</f>
        <v>NONLET CONSTR/REAL ESTATE</v>
      </c>
      <c r="I980" t="str">
        <f>CLEAN("RR OPS/CROSSING SURFACE            ")</f>
        <v xml:space="preserve">RR OPS/CROSSING SURFACE            </v>
      </c>
      <c r="J980" t="str">
        <f>CLEAN("CTH B  ")</f>
        <v xml:space="preserve">CTH B  </v>
      </c>
      <c r="K980" t="str">
        <f>CLEAN("DUNN                          ")</f>
        <v xml:space="preserve">DUNN                          </v>
      </c>
      <c r="L980" t="str">
        <f>CLEAN("CO DUNN, CTH B                     ")</f>
        <v xml:space="preserve">CO DUNN, CTH B                     </v>
      </c>
      <c r="M980" t="str">
        <f>CLEAN("UP RR XING 183913W                 ")</f>
        <v xml:space="preserve">UP RR XING 183913W                 </v>
      </c>
      <c r="N980">
        <v>0</v>
      </c>
      <c r="O980" t="str">
        <f t="shared" si="296"/>
        <v xml:space="preserve">          </v>
      </c>
      <c r="P980" t="str">
        <f>CLEAN("LOCAL-NON STP URBAN/RURAL                                                                           ")</f>
        <v xml:space="preserve">LOCAL-NON STP URBAN/RURAL                                                                           </v>
      </c>
    </row>
    <row r="981" spans="1:16" x14ac:dyDescent="0.25">
      <c r="A981" t="str">
        <f t="shared" si="292"/>
        <v>10</v>
      </c>
      <c r="B981" t="str">
        <f t="shared" si="293"/>
        <v>25</v>
      </c>
      <c r="C981" s="1">
        <v>45621</v>
      </c>
      <c r="D981" t="str">
        <f>CLEAN("8938-00-71")</f>
        <v>8938-00-71</v>
      </c>
      <c r="E981" t="str">
        <f>CLEAN("290  ")</f>
        <v xml:space="preserve">290  </v>
      </c>
      <c r="F981" t="str">
        <f>CLEAN("$1,000,000 - $1,999,999  ")</f>
        <v xml:space="preserve">$1,000,000 - $1,999,999  </v>
      </c>
      <c r="G981" t="str">
        <f>CLEAN("LLC")</f>
        <v>LLC</v>
      </c>
      <c r="H981" t="str">
        <f>CLEAN("NONLET CONSTR/REAL ESTATE")</f>
        <v>NONLET CONSTR/REAL ESTATE</v>
      </c>
      <c r="I981" t="str">
        <f>CLEAN("CONSTR/BIKE &amp; PED TRAIL TAP PROGRAM")</f>
        <v>CONSTR/BIKE &amp; PED TRAIL TAP PROGRAM</v>
      </c>
      <c r="J981" t="str">
        <f>CLEAN("NON HWY")</f>
        <v>NON HWY</v>
      </c>
      <c r="K981" t="str">
        <f>CLEAN("ST. CROIX                     ")</f>
        <v xml:space="preserve">ST. CROIX                     </v>
      </c>
      <c r="L981" t="str">
        <f>CLEAN("V SOMERSET, SOMERSET TRAIL         ")</f>
        <v xml:space="preserve">V SOMERSET, SOMERSET TRAIL         </v>
      </c>
      <c r="M981" t="str">
        <f>CLEAN("VARIOUS LOCATIONS                  ")</f>
        <v xml:space="preserve">VARIOUS LOCATIONS                  </v>
      </c>
      <c r="N981">
        <v>0</v>
      </c>
      <c r="O981" t="str">
        <f t="shared" si="296"/>
        <v xml:space="preserve">          </v>
      </c>
      <c r="P981" t="str">
        <f>CLEAN("BICYCLE AND PEDESTRIAN FACILITIES                                                                   ")</f>
        <v xml:space="preserve">BICYCLE AND PEDESTRIAN FACILITIES                                                                   </v>
      </c>
    </row>
    <row r="982" spans="1:16" x14ac:dyDescent="0.25">
      <c r="A982" t="str">
        <f t="shared" si="292"/>
        <v>10</v>
      </c>
      <c r="B982" t="str">
        <f t="shared" si="293"/>
        <v>25</v>
      </c>
      <c r="C982" s="1">
        <v>45272</v>
      </c>
      <c r="D982" t="str">
        <f>CLEAN("8939-03-78")</f>
        <v>8939-03-78</v>
      </c>
      <c r="E982" t="str">
        <f t="shared" ref="E982:E987" si="299">CLEAN("206  ")</f>
        <v xml:space="preserve">206  </v>
      </c>
      <c r="F982" t="str">
        <f>CLEAN("$0 - $99,999             ")</f>
        <v xml:space="preserve">$0 - $99,999             </v>
      </c>
      <c r="G982" t="str">
        <f t="shared" ref="G982:G987" si="300">CLEAN("LET")</f>
        <v>LET</v>
      </c>
      <c r="H982" t="str">
        <f t="shared" ref="H982:H987" si="301">CLEAN("LET CONSTRUCTION         ")</f>
        <v xml:space="preserve">LET CONSTRUCTION         </v>
      </c>
      <c r="I982" t="str">
        <f>CLEAN("CONSTRUCTION/HRRR/SAFETY TREATMENTS")</f>
        <v>CONSTRUCTION/HRRR/SAFETY TREATMENTS</v>
      </c>
      <c r="J982" t="str">
        <f>CLEAN("CTH I  ")</f>
        <v xml:space="preserve">CTH I  </v>
      </c>
      <c r="K982" t="str">
        <f>CLEAN("ST. CROIX                     ")</f>
        <v xml:space="preserve">ST. CROIX                     </v>
      </c>
      <c r="L982" t="str">
        <f>CLEAN("CTH A - SOMERSET                   ")</f>
        <v xml:space="preserve">CTH A - SOMERSET                   </v>
      </c>
      <c r="M982" t="str">
        <f>CLEAN("CTH A TO KOHLER DRIVE              ")</f>
        <v xml:space="preserve">CTH A TO KOHLER DRIVE              </v>
      </c>
      <c r="N982">
        <v>6.8550000000000004</v>
      </c>
      <c r="O982" t="str">
        <f t="shared" si="296"/>
        <v xml:space="preserve">          </v>
      </c>
      <c r="P982" t="str">
        <f>CLEAN("SAFETY - HIGH RISK RURAL ROADS                                                                      ")</f>
        <v xml:space="preserve">SAFETY - HIGH RISK RURAL ROADS                                                                      </v>
      </c>
    </row>
    <row r="983" spans="1:16" x14ac:dyDescent="0.25">
      <c r="A983" t="str">
        <f t="shared" si="292"/>
        <v>10</v>
      </c>
      <c r="B983" t="str">
        <f t="shared" si="293"/>
        <v>25</v>
      </c>
      <c r="C983" s="1">
        <v>45363</v>
      </c>
      <c r="D983" t="str">
        <f>CLEAN("8941-05-71")</f>
        <v>8941-05-71</v>
      </c>
      <c r="E983" t="str">
        <f t="shared" si="299"/>
        <v xml:space="preserve">206  </v>
      </c>
      <c r="F983" t="str">
        <f>CLEAN("$1,000,000 - $1,999,999  ")</f>
        <v xml:space="preserve">$1,000,000 - $1,999,999  </v>
      </c>
      <c r="G983" t="str">
        <f t="shared" si="300"/>
        <v>LET</v>
      </c>
      <c r="H983" t="str">
        <f t="shared" si="301"/>
        <v xml:space="preserve">LET CONSTRUCTION         </v>
      </c>
      <c r="I983" t="str">
        <f>CLEAN("CONSTRUCTION/RECONDITION           ")</f>
        <v xml:space="preserve">CONSTRUCTION/RECONDITION           </v>
      </c>
      <c r="J983" t="str">
        <f>CLEAN("CTH K  ")</f>
        <v xml:space="preserve">CTH K  </v>
      </c>
      <c r="K983" t="str">
        <f>CLEAN("ST. CROIX                     ")</f>
        <v xml:space="preserve">ST. CROIX                     </v>
      </c>
      <c r="L983" t="str">
        <f>CLEAN("NEW RICHMOND - JEWETT              ")</f>
        <v xml:space="preserve">NEW RICHMOND - JEWETT              </v>
      </c>
      <c r="M983" t="str">
        <f>CLEAN("170TH STREET NORTH TO CTH T        ")</f>
        <v xml:space="preserve">170TH STREET NORTH TO CTH T        </v>
      </c>
      <c r="N983">
        <v>1.492</v>
      </c>
      <c r="O983" t="str">
        <f t="shared" si="296"/>
        <v xml:space="preserve">          </v>
      </c>
      <c r="P98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84" spans="1:16" x14ac:dyDescent="0.25">
      <c r="A984" t="str">
        <f t="shared" si="292"/>
        <v>10</v>
      </c>
      <c r="B984" t="str">
        <f t="shared" ref="B984:B990" si="302">CLEAN("25")</f>
        <v>25</v>
      </c>
      <c r="C984" s="1">
        <v>45426</v>
      </c>
      <c r="D984" t="str">
        <f>CLEAN("8995-00-22")</f>
        <v>8995-00-22</v>
      </c>
      <c r="E984" t="str">
        <f t="shared" si="299"/>
        <v xml:space="preserve">206  </v>
      </c>
      <c r="F984" t="str">
        <f>CLEAN("$100,000-$249,999        ")</f>
        <v xml:space="preserve">$100,000-$249,999        </v>
      </c>
      <c r="G984" t="str">
        <f t="shared" si="300"/>
        <v>LET</v>
      </c>
      <c r="H984" t="str">
        <f t="shared" si="301"/>
        <v xml:space="preserve">LET CONSTRUCTION         </v>
      </c>
      <c r="I984" t="str">
        <f>CLEAN("CONSTRUCTION/RESURFACE             ")</f>
        <v xml:space="preserve">CONSTRUCTION/RESURFACE             </v>
      </c>
      <c r="J984" t="str">
        <f>CLEAN("LOC STR")</f>
        <v>LOC STR</v>
      </c>
      <c r="K984" t="str">
        <f>CLEAN("ASHLAND                       ")</f>
        <v xml:space="preserve">ASHLAND                       </v>
      </c>
      <c r="L984" t="str">
        <f>CLEAN("C ASHLAND, CARY STREET             ")</f>
        <v xml:space="preserve">C ASHLAND, CARY STREET             </v>
      </c>
      <c r="M984" t="str">
        <f>CLEAN("16TH AVE E TO 19TH AVE E           ")</f>
        <v xml:space="preserve">16TH AVE E TO 19TH AVE E           </v>
      </c>
      <c r="N984">
        <v>0.309</v>
      </c>
      <c r="O984" t="str">
        <f>CLEAN("8995-00-24")</f>
        <v>8995-00-24</v>
      </c>
      <c r="P984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85" spans="1:16" x14ac:dyDescent="0.25">
      <c r="A985" t="str">
        <f t="shared" si="292"/>
        <v>10</v>
      </c>
      <c r="B985" t="str">
        <f t="shared" si="302"/>
        <v>25</v>
      </c>
      <c r="C985" s="1">
        <v>45426</v>
      </c>
      <c r="D985" t="str">
        <f>CLEAN("8995-00-24")</f>
        <v>8995-00-24</v>
      </c>
      <c r="E985" t="str">
        <f t="shared" si="299"/>
        <v xml:space="preserve">206  </v>
      </c>
      <c r="F985" t="str">
        <f>CLEAN("$250,000 - $499,999      ")</f>
        <v xml:space="preserve">$250,000 - $499,999      </v>
      </c>
      <c r="G985" t="str">
        <f t="shared" si="300"/>
        <v>LET</v>
      </c>
      <c r="H985" t="str">
        <f t="shared" si="301"/>
        <v xml:space="preserve">LET CONSTRUCTION         </v>
      </c>
      <c r="I985" t="str">
        <f>CLEAN("CONSTRUCTION/RESURFACE             ")</f>
        <v xml:space="preserve">CONSTRUCTION/RESURFACE             </v>
      </c>
      <c r="J985" t="str">
        <f>CLEAN("LOC STR")</f>
        <v>LOC STR</v>
      </c>
      <c r="K985" t="str">
        <f>CLEAN("ASHLAND                       ")</f>
        <v xml:space="preserve">ASHLAND                       </v>
      </c>
      <c r="L985" t="str">
        <f>CLEAN("C ASHLAND, INDUSTRIAL PARK ROAD    ")</f>
        <v xml:space="preserve">C ASHLAND, INDUSTRIAL PARK ROAD    </v>
      </c>
      <c r="M985" t="str">
        <f>CLEAN("TOLL RD TO USH 2                   ")</f>
        <v xml:space="preserve">TOLL RD TO USH 2                   </v>
      </c>
      <c r="N985">
        <v>0.55000000000000004</v>
      </c>
      <c r="O985" t="str">
        <f>CLEAN("8995-00-22")</f>
        <v>8995-00-22</v>
      </c>
      <c r="P985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86" spans="1:16" x14ac:dyDescent="0.25">
      <c r="A986" t="str">
        <f t="shared" si="292"/>
        <v>10</v>
      </c>
      <c r="B986" t="str">
        <f t="shared" si="302"/>
        <v>25</v>
      </c>
      <c r="C986" s="1">
        <v>45608</v>
      </c>
      <c r="D986" t="str">
        <f>CLEAN("8996-01-07")</f>
        <v>8996-01-07</v>
      </c>
      <c r="E986" t="str">
        <f t="shared" si="299"/>
        <v xml:space="preserve">206  </v>
      </c>
      <c r="F986" t="str">
        <f>CLEAN("$1,000,000 - $1,999,999  ")</f>
        <v xml:space="preserve">$1,000,000 - $1,999,999  </v>
      </c>
      <c r="G986" t="str">
        <f t="shared" si="300"/>
        <v>LET</v>
      </c>
      <c r="H986" t="str">
        <f t="shared" si="301"/>
        <v xml:space="preserve">LET CONSTRUCTION         </v>
      </c>
      <c r="I986" t="str">
        <f>CLEAN("CONSTRUCTION/RECONSTRUCT           ")</f>
        <v xml:space="preserve">CONSTRUCTION/RECONSTRUCT           </v>
      </c>
      <c r="J986" t="str">
        <f>CLEAN("CTH J  ")</f>
        <v xml:space="preserve">CTH J  </v>
      </c>
      <c r="K986" t="str">
        <f>CLEAN("CHIPPEWA                      ")</f>
        <v xml:space="preserve">CHIPPEWA                      </v>
      </c>
      <c r="L986" t="str">
        <f>CLEAN("CHIPPEWA FALLS - CTH K             ")</f>
        <v xml:space="preserve">CHIPPEWA FALLS - CTH K             </v>
      </c>
      <c r="M986" t="str">
        <f>CLEAN("CTH J &amp; 50TH AVE INTERSECTION      ")</f>
        <v xml:space="preserve">CTH J &amp; 50TH AVE INTERSECTION      </v>
      </c>
      <c r="N986">
        <v>0.33800000000000002</v>
      </c>
      <c r="O986" t="str">
        <f>CLEAN("1050-01-79")</f>
        <v>1050-01-79</v>
      </c>
      <c r="P986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87" spans="1:16" x14ac:dyDescent="0.25">
      <c r="A987" t="str">
        <f t="shared" si="292"/>
        <v>10</v>
      </c>
      <c r="B987" t="str">
        <f t="shared" si="302"/>
        <v>25</v>
      </c>
      <c r="C987" s="1">
        <v>45636</v>
      </c>
      <c r="D987" t="str">
        <f>CLEAN("8998-00-36")</f>
        <v>8998-00-36</v>
      </c>
      <c r="E987" t="str">
        <f t="shared" si="299"/>
        <v xml:space="preserve">206  </v>
      </c>
      <c r="F987" t="str">
        <f>CLEAN("$1,000,000 - $1,999,999  ")</f>
        <v xml:space="preserve">$1,000,000 - $1,999,999  </v>
      </c>
      <c r="G987" t="str">
        <f t="shared" si="300"/>
        <v>LET</v>
      </c>
      <c r="H987" t="str">
        <f t="shared" si="301"/>
        <v xml:space="preserve">LET CONSTRUCTION         </v>
      </c>
      <c r="I987" t="str">
        <f>CLEAN("CONSTRUCTION/RECONSTRUCTION        ")</f>
        <v xml:space="preserve">CONSTRUCTION/RECONSTRUCTION        </v>
      </c>
      <c r="J987" t="str">
        <f>CLEAN("LOC STR")</f>
        <v>LOC STR</v>
      </c>
      <c r="K987" t="str">
        <f>CLEAN("DOUGLAS                       ")</f>
        <v xml:space="preserve">DOUGLAS                       </v>
      </c>
      <c r="L987" t="str">
        <f>CLEAN("C SUPERIOR, HAMMOND AVE            ")</f>
        <v xml:space="preserve">C SUPERIOR, HAMMOND AVE            </v>
      </c>
      <c r="M987" t="str">
        <f>CLEAN("N 21ST STREET TO N 28TH STREET     ")</f>
        <v xml:space="preserve">N 21ST STREET TO N 28TH STREET     </v>
      </c>
      <c r="N987">
        <v>0.5</v>
      </c>
      <c r="O987" t="str">
        <f>CLEAN("          ")</f>
        <v xml:space="preserve">          </v>
      </c>
      <c r="P987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88" spans="1:16" x14ac:dyDescent="0.25">
      <c r="A988" t="str">
        <f t="shared" si="292"/>
        <v>10</v>
      </c>
      <c r="B988" t="str">
        <f t="shared" si="302"/>
        <v>25</v>
      </c>
      <c r="C988" s="1">
        <v>45347</v>
      </c>
      <c r="D988" t="str">
        <f>CLEAN("8998-00-38")</f>
        <v>8998-00-38</v>
      </c>
      <c r="E988" t="str">
        <f>CLEAN("290  ")</f>
        <v xml:space="preserve">290  </v>
      </c>
      <c r="F988" t="str">
        <f>CLEAN("$250,000 - $499,999      ")</f>
        <v xml:space="preserve">$250,000 - $499,999      </v>
      </c>
      <c r="G988" t="str">
        <f>CLEAN("LLC")</f>
        <v>LLC</v>
      </c>
      <c r="H988" t="str">
        <f>CLEAN("NONLET CONSTR/REAL ESTATE")</f>
        <v>NONLET CONSTR/REAL ESTATE</v>
      </c>
      <c r="I988" t="str">
        <f>CLEAN("CONSTR/BUS STOP IMPRVMTS/TAP       ")</f>
        <v xml:space="preserve">CONSTR/BUS STOP IMPRVMTS/TAP       </v>
      </c>
      <c r="J988" t="str">
        <f>CLEAN("OFF SYS")</f>
        <v>OFF SYS</v>
      </c>
      <c r="K988" t="str">
        <f>CLEAN("DOUGLAS                       ")</f>
        <v xml:space="preserve">DOUGLAS                       </v>
      </c>
      <c r="L988" t="str">
        <f>CLEAN("C SUPERIOR, VARIOUS LOCATIONS      ")</f>
        <v xml:space="preserve">C SUPERIOR, VARIOUS LOCATIONS      </v>
      </c>
      <c r="M988" t="str">
        <f>CLEAN("BUS STOP IMPROVEMENTS              ")</f>
        <v xml:space="preserve">BUS STOP IMPROVEMENTS              </v>
      </c>
      <c r="N988">
        <v>0</v>
      </c>
      <c r="O988" t="str">
        <f>CLEAN("          ")</f>
        <v xml:space="preserve">          </v>
      </c>
      <c r="P988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989" spans="1:16" x14ac:dyDescent="0.25">
      <c r="A989" t="str">
        <f t="shared" si="292"/>
        <v>10</v>
      </c>
      <c r="B989" t="str">
        <f t="shared" si="302"/>
        <v>25</v>
      </c>
      <c r="C989" s="1">
        <v>45608</v>
      </c>
      <c r="D989" t="str">
        <f>CLEAN("9000-00-74")</f>
        <v>9000-00-74</v>
      </c>
      <c r="E989" t="str">
        <f t="shared" ref="E989:E999" si="303">CLEAN("303  ")</f>
        <v xml:space="preserve">303  </v>
      </c>
      <c r="F989" t="str">
        <f>CLEAN("$250,000 - $499,999      ")</f>
        <v xml:space="preserve">$250,000 - $499,999      </v>
      </c>
      <c r="G989" t="str">
        <f t="shared" ref="G989:G994" si="304">CLEAN("LET")</f>
        <v>LET</v>
      </c>
      <c r="H989" t="str">
        <f t="shared" ref="H989:H994" si="305">CLEAN("LET CONSTRUCTION         ")</f>
        <v xml:space="preserve">LET CONSTRUCTION         </v>
      </c>
      <c r="I989" t="str">
        <f>CLEAN("CONSTR/CULVERT REPLACEMENT         ")</f>
        <v xml:space="preserve">CONSTR/CULVERT REPLACEMENT         </v>
      </c>
      <c r="J989" t="str">
        <f>CLEAN("STH 064")</f>
        <v>STH 064</v>
      </c>
      <c r="K989" t="str">
        <f>CLEAN("TAYLOR                        ")</f>
        <v xml:space="preserve">TAYLOR                        </v>
      </c>
      <c r="L989" t="str">
        <f>CLEAN("MEDFORD - MERRILL                  ")</f>
        <v xml:space="preserve">MEDFORD - MERRILL                  </v>
      </c>
      <c r="M989" t="str">
        <f>CLEAN("CULVERT C-60-0020                  ")</f>
        <v xml:space="preserve">CULVERT C-60-0020                  </v>
      </c>
      <c r="N989">
        <v>4.3999999999999997E-2</v>
      </c>
      <c r="O989" t="str">
        <f>CLEAN("9000-00-75")</f>
        <v>9000-00-75</v>
      </c>
      <c r="P98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0" spans="1:16" x14ac:dyDescent="0.25">
      <c r="A990" t="str">
        <f t="shared" si="292"/>
        <v>10</v>
      </c>
      <c r="B990" t="str">
        <f t="shared" si="302"/>
        <v>25</v>
      </c>
      <c r="C990" s="1">
        <v>45608</v>
      </c>
      <c r="D990" t="str">
        <f>CLEAN("9000-00-75")</f>
        <v>9000-00-75</v>
      </c>
      <c r="E990" t="str">
        <f t="shared" si="303"/>
        <v xml:space="preserve">303  </v>
      </c>
      <c r="F990" t="str">
        <f>CLEAN("$250,000 - $499,999      ")</f>
        <v xml:space="preserve">$250,000 - $499,999      </v>
      </c>
      <c r="G990" t="str">
        <f t="shared" si="304"/>
        <v>LET</v>
      </c>
      <c r="H990" t="str">
        <f t="shared" si="305"/>
        <v xml:space="preserve">LET CONSTRUCTION         </v>
      </c>
      <c r="I990" t="str">
        <f>CLEAN("CONSTRUCTION/CULVERT REPLACEMENT   ")</f>
        <v xml:space="preserve">CONSTRUCTION/CULVERT REPLACEMENT   </v>
      </c>
      <c r="J990" t="str">
        <f>CLEAN("STH 064")</f>
        <v>STH 064</v>
      </c>
      <c r="K990" t="str">
        <f>CLEAN("TAYLOR                        ")</f>
        <v xml:space="preserve">TAYLOR                        </v>
      </c>
      <c r="L990" t="str">
        <f>CLEAN("MEDFORD - MERRILL                  ")</f>
        <v xml:space="preserve">MEDFORD - MERRILL                  </v>
      </c>
      <c r="M990" t="str">
        <f>CLEAN("WATERWAY CULVERT C-60-0021         ")</f>
        <v xml:space="preserve">WATERWAY CULVERT C-60-0021         </v>
      </c>
      <c r="N990">
        <v>1.7000000000000001E-2</v>
      </c>
      <c r="O990" t="str">
        <f>CLEAN("9000-00-74")</f>
        <v>9000-00-74</v>
      </c>
      <c r="P99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1" spans="1:16" x14ac:dyDescent="0.25">
      <c r="A991" t="str">
        <f t="shared" si="292"/>
        <v>10</v>
      </c>
      <c r="B991" t="str">
        <f>CLEAN("24")</f>
        <v>24</v>
      </c>
      <c r="C991" s="1">
        <v>45517</v>
      </c>
      <c r="D991" t="str">
        <f>CLEAN("9100-05-72")</f>
        <v>9100-05-72</v>
      </c>
      <c r="E991" t="str">
        <f t="shared" si="303"/>
        <v xml:space="preserve">303  </v>
      </c>
      <c r="F991" t="str">
        <f>CLEAN("$5,000,000 - $5,999,999  ")</f>
        <v xml:space="preserve">$5,000,000 - $5,999,999  </v>
      </c>
      <c r="G991" t="str">
        <f t="shared" si="304"/>
        <v>LET</v>
      </c>
      <c r="H991" t="str">
        <f t="shared" si="305"/>
        <v xml:space="preserve">LET CONSTRUCTION         </v>
      </c>
      <c r="I991" t="str">
        <f>CLEAN("CONST/RESURFACE                    ")</f>
        <v xml:space="preserve">CONST/RESURFACE                    </v>
      </c>
      <c r="J991" t="str">
        <f>CLEAN("STH 070")</f>
        <v>STH 070</v>
      </c>
      <c r="K991" t="str">
        <f>CLEAN("FLORENCE                      ")</f>
        <v xml:space="preserve">FLORENCE                      </v>
      </c>
      <c r="L991" t="str">
        <f>CLEAN("TIPLER - FLORENCE                  ")</f>
        <v xml:space="preserve">TIPLER - FLORENCE                  </v>
      </c>
      <c r="M991" t="str">
        <f>CLEAN("FOREST ROAD 2154 TO USH 2          ")</f>
        <v xml:space="preserve">FOREST ROAD 2154 TO USH 2          </v>
      </c>
      <c r="N991">
        <v>12.422000000000001</v>
      </c>
      <c r="O991" t="str">
        <f t="shared" ref="O991:O1013" si="306">CLEAN("          ")</f>
        <v xml:space="preserve">          </v>
      </c>
      <c r="P99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2" spans="1:16" x14ac:dyDescent="0.25">
      <c r="A992" t="str">
        <f t="shared" si="292"/>
        <v>10</v>
      </c>
      <c r="B992" t="str">
        <f>CLEAN("24")</f>
        <v>24</v>
      </c>
      <c r="C992" s="1">
        <v>45363</v>
      </c>
      <c r="D992" t="str">
        <f>CLEAN("9130-03-72")</f>
        <v>9130-03-72</v>
      </c>
      <c r="E992" t="str">
        <f t="shared" si="303"/>
        <v xml:space="preserve">303  </v>
      </c>
      <c r="F992" t="str">
        <f>CLEAN("$3,000,000 - $3,999,999  ")</f>
        <v xml:space="preserve">$3,000,000 - $3,999,999  </v>
      </c>
      <c r="G992" t="str">
        <f t="shared" si="304"/>
        <v>LET</v>
      </c>
      <c r="H992" t="str">
        <f t="shared" si="305"/>
        <v xml:space="preserve">LET CONSTRUCTION         </v>
      </c>
      <c r="I992" t="str">
        <f>CLEAN("CONST/PVRPLA                       ")</f>
        <v xml:space="preserve">CONST/PVRPLA                       </v>
      </c>
      <c r="J992" t="str">
        <f>CLEAN("STH 032")</f>
        <v>STH 032</v>
      </c>
      <c r="K992" t="str">
        <f>CLEAN("FOREST                        ")</f>
        <v xml:space="preserve">FOREST                        </v>
      </c>
      <c r="L992" t="str">
        <f>CLEAN("WABENO - CRANDON                   ")</f>
        <v xml:space="preserve">WABENO - CRANDON                   </v>
      </c>
      <c r="M992" t="str">
        <f>CLEAN("CTH C TO FOREST AVENUE             ")</f>
        <v xml:space="preserve">CTH C TO FOREST AVENUE             </v>
      </c>
      <c r="N992">
        <v>1.4650000000000001</v>
      </c>
      <c r="O992" t="str">
        <f t="shared" si="306"/>
        <v xml:space="preserve">          </v>
      </c>
      <c r="P99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3" spans="1:16" x14ac:dyDescent="0.25">
      <c r="A993" t="str">
        <f t="shared" si="292"/>
        <v>10</v>
      </c>
      <c r="B993" t="str">
        <f>CLEAN("24")</f>
        <v>24</v>
      </c>
      <c r="C993" s="1">
        <v>45545</v>
      </c>
      <c r="D993" t="str">
        <f>CLEAN("9140-12-75")</f>
        <v>9140-12-75</v>
      </c>
      <c r="E993" t="str">
        <f t="shared" si="303"/>
        <v xml:space="preserve">303  </v>
      </c>
      <c r="F993" t="str">
        <f>CLEAN("$2,000,000 - $2,999,999  ")</f>
        <v xml:space="preserve">$2,000,000 - $2,999,999  </v>
      </c>
      <c r="G993" t="str">
        <f t="shared" si="304"/>
        <v>LET</v>
      </c>
      <c r="H993" t="str">
        <f t="shared" si="305"/>
        <v xml:space="preserve">LET CONSTRUCTION         </v>
      </c>
      <c r="I993" t="str">
        <f>CLEAN("CONST/RESURFACE                    ")</f>
        <v xml:space="preserve">CONST/RESURFACE                    </v>
      </c>
      <c r="J993" t="str">
        <f>CLEAN("STH 064")</f>
        <v>STH 064</v>
      </c>
      <c r="K993" t="str">
        <f>CLEAN("LANGLADE                      ")</f>
        <v xml:space="preserve">LANGLADE                      </v>
      </c>
      <c r="L993" t="str">
        <f>CLEAN("ANTIGO - LANGLADE                  ")</f>
        <v xml:space="preserve">ANTIGO - LANGLADE                  </v>
      </c>
      <c r="M993" t="str">
        <f>CLEAN("CLOVER ROAD TO FIFTH AVENUE ROAD   ")</f>
        <v xml:space="preserve">CLOVER ROAD TO FIFTH AVENUE ROAD   </v>
      </c>
      <c r="N993">
        <v>5.75</v>
      </c>
      <c r="O993" t="str">
        <f t="shared" si="306"/>
        <v xml:space="preserve">          </v>
      </c>
      <c r="P99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4" spans="1:16" x14ac:dyDescent="0.25">
      <c r="A994" t="str">
        <f t="shared" si="292"/>
        <v>10</v>
      </c>
      <c r="B994" t="str">
        <f>CLEAN("24")</f>
        <v>24</v>
      </c>
      <c r="C994" s="1">
        <v>45363</v>
      </c>
      <c r="D994" t="str">
        <f>CLEAN("9155-05-71")</f>
        <v>9155-05-71</v>
      </c>
      <c r="E994" t="str">
        <f t="shared" si="303"/>
        <v xml:space="preserve">303  </v>
      </c>
      <c r="F994" t="str">
        <f>CLEAN("$1,000,000 - $1,999,999  ")</f>
        <v xml:space="preserve">$1,000,000 - $1,999,999  </v>
      </c>
      <c r="G994" t="str">
        <f t="shared" si="304"/>
        <v>LET</v>
      </c>
      <c r="H994" t="str">
        <f t="shared" si="305"/>
        <v xml:space="preserve">LET CONSTRUCTION         </v>
      </c>
      <c r="I994" t="str">
        <f>CLEAN("CONST/REPLACEMENT                  ")</f>
        <v xml:space="preserve">CONST/REPLACEMENT                  </v>
      </c>
      <c r="J994" t="str">
        <f>CLEAN("STH 055")</f>
        <v>STH 055</v>
      </c>
      <c r="K994" t="str">
        <f>CLEAN("LANGLADE                      ")</f>
        <v xml:space="preserve">LANGLADE                      </v>
      </c>
      <c r="L994" t="str">
        <f>CLEAN("LANGLADE - PICKEREL                ")</f>
        <v xml:space="preserve">LANGLADE - PICKEREL                </v>
      </c>
      <c r="M994" t="str">
        <f>CLEAN("NINE MILE CREEK B-34-0010          ")</f>
        <v xml:space="preserve">NINE MILE CREEK B-34-0010          </v>
      </c>
      <c r="N994">
        <v>0</v>
      </c>
      <c r="O994" t="str">
        <f t="shared" si="306"/>
        <v xml:space="preserve">          </v>
      </c>
      <c r="P99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5" spans="1:16" x14ac:dyDescent="0.25">
      <c r="A995" t="str">
        <f t="shared" si="292"/>
        <v>10</v>
      </c>
      <c r="B995" t="str">
        <f>CLEAN("23")</f>
        <v>23</v>
      </c>
      <c r="C995" s="1">
        <v>45468</v>
      </c>
      <c r="D995" t="str">
        <f>CLEAN("9160-21-40")</f>
        <v>9160-21-40</v>
      </c>
      <c r="E995" t="str">
        <f t="shared" si="303"/>
        <v xml:space="preserve">303  </v>
      </c>
      <c r="F995" t="str">
        <f>CLEAN("$0 - $99,999             ")</f>
        <v xml:space="preserve">$0 - $99,999             </v>
      </c>
      <c r="G995" t="str">
        <f>CLEAN("UTL")</f>
        <v>UTL</v>
      </c>
      <c r="H995" t="str">
        <f>CLEAN("NONLET CONSTR/REAL ESTATE")</f>
        <v>NONLET CONSTR/REAL ESTATE</v>
      </c>
      <c r="I995" t="str">
        <f>CLEAN("UTL RELOCATION                     ")</f>
        <v xml:space="preserve">UTL RELOCATION                     </v>
      </c>
      <c r="J995" t="str">
        <f>CLEAN("STH 064")</f>
        <v>STH 064</v>
      </c>
      <c r="K995" t="str">
        <f>CLEAN("MARINETTE                     ")</f>
        <v xml:space="preserve">MARINETTE                     </v>
      </c>
      <c r="L995" t="str">
        <f>CLEAN("MOUNTAIN - POUND                   ")</f>
        <v xml:space="preserve">MOUNTAIN - POUND                   </v>
      </c>
      <c r="M995" t="str">
        <f>CLEAN("N 17TH RD - USH 141                ")</f>
        <v xml:space="preserve">N 17TH RD - USH 141                </v>
      </c>
      <c r="N995">
        <v>0.68</v>
      </c>
      <c r="O995" t="str">
        <f t="shared" si="306"/>
        <v xml:space="preserve">          </v>
      </c>
      <c r="P9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6" spans="1:16" x14ac:dyDescent="0.25">
      <c r="A996" t="str">
        <f t="shared" si="292"/>
        <v>10</v>
      </c>
      <c r="B996" t="str">
        <f>CLEAN("24")</f>
        <v>24</v>
      </c>
      <c r="C996" s="1">
        <v>45517</v>
      </c>
      <c r="D996" t="str">
        <f>CLEAN("9165-13-70")</f>
        <v>9165-13-70</v>
      </c>
      <c r="E996" t="str">
        <f t="shared" si="303"/>
        <v xml:space="preserve">303  </v>
      </c>
      <c r="F996" t="str">
        <f>CLEAN("$4,000,000 - $4,999,999  ")</f>
        <v xml:space="preserve">$4,000,000 - $4,999,999  </v>
      </c>
      <c r="G996" t="str">
        <f>CLEAN("LET")</f>
        <v>LET</v>
      </c>
      <c r="H996" t="str">
        <f>CLEAN("LET CONSTRUCTION         ")</f>
        <v xml:space="preserve">LET CONSTRUCTION         </v>
      </c>
      <c r="I996" t="str">
        <f>CLEAN("CONST/RESURFACE                    ")</f>
        <v xml:space="preserve">CONST/RESURFACE                    </v>
      </c>
      <c r="J996" t="str">
        <f>CLEAN("STH 055")</f>
        <v>STH 055</v>
      </c>
      <c r="K996" t="str">
        <f>CLEAN("FOREST                        ")</f>
        <v xml:space="preserve">FOREST                        </v>
      </c>
      <c r="L996" t="str">
        <f>CLEAN("ARGONNE - NELMA                    ")</f>
        <v xml:space="preserve">ARGONNE - NELMA                    </v>
      </c>
      <c r="M996" t="str">
        <f>CLEAN("SCOTT LAKE ROAD TO STH 70          ")</f>
        <v xml:space="preserve">SCOTT LAKE ROAD TO STH 70          </v>
      </c>
      <c r="N996">
        <v>15.712</v>
      </c>
      <c r="O996" t="str">
        <f t="shared" si="306"/>
        <v xml:space="preserve">          </v>
      </c>
      <c r="P99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7" spans="1:16" x14ac:dyDescent="0.25">
      <c r="A997" t="str">
        <f t="shared" si="292"/>
        <v>10</v>
      </c>
      <c r="B997" t="str">
        <f>CLEAN("24")</f>
        <v>24</v>
      </c>
      <c r="C997" s="1">
        <v>45529</v>
      </c>
      <c r="D997" t="str">
        <f>CLEAN("9175-10-22")</f>
        <v>9175-10-22</v>
      </c>
      <c r="E997" t="str">
        <f t="shared" si="303"/>
        <v xml:space="preserve">303  </v>
      </c>
      <c r="F997" t="str">
        <f>CLEAN("$0 - $99,999             ")</f>
        <v xml:space="preserve">$0 - $99,999             </v>
      </c>
      <c r="G997" t="str">
        <f>CLEAN("R/E")</f>
        <v>R/E</v>
      </c>
      <c r="H997" t="str">
        <f>CLEAN("NONLET CONSTR/REAL ESTATE")</f>
        <v>NONLET CONSTR/REAL ESTATE</v>
      </c>
      <c r="I997" t="str">
        <f>CLEAN("REAL ESTATE/RESURFACE              ")</f>
        <v xml:space="preserve">REAL ESTATE/RESURFACE              </v>
      </c>
      <c r="J997" t="str">
        <f>CLEAN("STH 052")</f>
        <v>STH 052</v>
      </c>
      <c r="K997" t="str">
        <f>CLEAN("LANGLADE                      ")</f>
        <v xml:space="preserve">LANGLADE                      </v>
      </c>
      <c r="L997" t="str">
        <f>CLEAN("ANTIGO - LILY                      ")</f>
        <v xml:space="preserve">ANTIGO - LILY                      </v>
      </c>
      <c r="M997" t="str">
        <f>CLEAN("STH 64 TO PIELA LANE               ")</f>
        <v xml:space="preserve">STH 64 TO PIELA LANE               </v>
      </c>
      <c r="N997">
        <v>14.94</v>
      </c>
      <c r="O997" t="str">
        <f t="shared" si="306"/>
        <v xml:space="preserve">          </v>
      </c>
      <c r="P9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8" spans="1:16" x14ac:dyDescent="0.25">
      <c r="A998" t="str">
        <f t="shared" si="292"/>
        <v>10</v>
      </c>
      <c r="B998" t="str">
        <f>CLEAN("24")</f>
        <v>24</v>
      </c>
      <c r="C998" s="1">
        <v>45437</v>
      </c>
      <c r="D998" t="str">
        <f>CLEAN("9180-17-21")</f>
        <v>9180-17-21</v>
      </c>
      <c r="E998" t="str">
        <f t="shared" si="303"/>
        <v xml:space="preserve">303  </v>
      </c>
      <c r="F998" t="str">
        <f>CLEAN("$0 - $99,999             ")</f>
        <v xml:space="preserve">$0 - $99,999             </v>
      </c>
      <c r="G998" t="str">
        <f>CLEAN("R/E")</f>
        <v>R/E</v>
      </c>
      <c r="H998" t="str">
        <f>CLEAN("NONLET CONSTR/REAL ESTATE")</f>
        <v>NONLET CONSTR/REAL ESTATE</v>
      </c>
      <c r="I998" t="str">
        <f>CLEAN("REAL ESTATE/RESURFACE              ")</f>
        <v xml:space="preserve">REAL ESTATE/RESURFACE              </v>
      </c>
      <c r="J998" t="str">
        <f>CLEAN("STH 022")</f>
        <v>STH 022</v>
      </c>
      <c r="K998" t="str">
        <f>CLEAN("SHAWANO                       ")</f>
        <v xml:space="preserve">SHAWANO                       </v>
      </c>
      <c r="L998" t="str">
        <f>CLEAN("SHAWANO - GILLETT                  ")</f>
        <v xml:space="preserve">SHAWANO - GILLETT                  </v>
      </c>
      <c r="M998" t="str">
        <f>CLEAN("CTH BE TO OCONTO COUNTY LINE       ")</f>
        <v xml:space="preserve">CTH BE TO OCONTO COUNTY LINE       </v>
      </c>
      <c r="N998">
        <v>11.718</v>
      </c>
      <c r="O998" t="str">
        <f t="shared" si="306"/>
        <v xml:space="preserve">          </v>
      </c>
      <c r="P9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9" spans="1:16" x14ac:dyDescent="0.25">
      <c r="A999" t="str">
        <f t="shared" si="292"/>
        <v>10</v>
      </c>
      <c r="B999" t="str">
        <f>CLEAN("23")</f>
        <v>23</v>
      </c>
      <c r="C999" s="1">
        <v>45468</v>
      </c>
      <c r="D999" t="str">
        <f>CLEAN("9180-35-40")</f>
        <v>9180-35-40</v>
      </c>
      <c r="E999" t="str">
        <f t="shared" si="303"/>
        <v xml:space="preserve">303  </v>
      </c>
      <c r="F999" t="str">
        <f>CLEAN("$0 - $99,999             ")</f>
        <v xml:space="preserve">$0 - $99,999             </v>
      </c>
      <c r="G999" t="str">
        <f>CLEAN("UTL")</f>
        <v>UTL</v>
      </c>
      <c r="H999" t="str">
        <f>CLEAN("NONLET CONSTR/REAL ESTATE")</f>
        <v>NONLET CONSTR/REAL ESTATE</v>
      </c>
      <c r="I999" t="str">
        <f>CLEAN("UTL OPS/RELOCATION                 ")</f>
        <v xml:space="preserve">UTL OPS/RELOCATION                 </v>
      </c>
      <c r="J999" t="str">
        <f>CLEAN("STH 022")</f>
        <v>STH 022</v>
      </c>
      <c r="K999" t="str">
        <f>CLEAN("OCONTO                        ")</f>
        <v xml:space="preserve">OCONTO                        </v>
      </c>
      <c r="L999" t="str">
        <f>CLEAN("C. GILLETT, MAIN &amp; McKENZIE STRTS  ")</f>
        <v xml:space="preserve">C. GILLETT, MAIN &amp; McKENZIE STRTS  </v>
      </c>
      <c r="M999" t="str">
        <f>CLEAN("S CPL - N CPL                      ")</f>
        <v xml:space="preserve">S CPL - N CPL                      </v>
      </c>
      <c r="N999">
        <v>1.04</v>
      </c>
      <c r="O999" t="str">
        <f t="shared" si="306"/>
        <v xml:space="preserve">          </v>
      </c>
      <c r="P99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0" spans="1:16" x14ac:dyDescent="0.25">
      <c r="A1000" t="str">
        <f t="shared" si="292"/>
        <v>10</v>
      </c>
      <c r="B1000" t="str">
        <f t="shared" ref="B1000:B1012" si="307">CLEAN("24")</f>
        <v>24</v>
      </c>
      <c r="C1000" s="1">
        <v>45285</v>
      </c>
      <c r="D1000" t="str">
        <f>CLEAN("9220-00-80")</f>
        <v>9220-00-80</v>
      </c>
      <c r="E1000" t="str">
        <f>CLEAN("206  ")</f>
        <v xml:space="preserve">206  </v>
      </c>
      <c r="F1000" t="str">
        <f>CLEAN("$100,000-$249,999        ")</f>
        <v xml:space="preserve">$100,000-$249,999        </v>
      </c>
      <c r="G1000" t="str">
        <f>CLEAN("MIS")</f>
        <v>MIS</v>
      </c>
      <c r="H1000" t="str">
        <f>CLEAN("NONLET CONSTR/REAL ESTATE")</f>
        <v>NONLET CONSTR/REAL ESTATE</v>
      </c>
      <c r="I1000" t="str">
        <f>CLEAN("CONST/CRP/MISC                     ")</f>
        <v xml:space="preserve">CONST/CRP/MISC                     </v>
      </c>
      <c r="J1000" t="str">
        <f>CLEAN("LOC STR")</f>
        <v>LOC STR</v>
      </c>
      <c r="K1000" t="str">
        <f>CLEAN("SHAWANO                       ")</f>
        <v xml:space="preserve">SHAWANO                       </v>
      </c>
      <c r="L1000" t="str">
        <f>CLEAN("BONDUEL LED STREETLIGHT CONVERSION ")</f>
        <v xml:space="preserve">BONDUEL LED STREETLIGHT CONVERSION </v>
      </c>
      <c r="M1000" t="str">
        <f>CLEAN("VARIOUS STREET LOCATIONS           ")</f>
        <v xml:space="preserve">VARIOUS STREET LOCATIONS           </v>
      </c>
      <c r="N1000">
        <v>0</v>
      </c>
      <c r="O1000" t="str">
        <f t="shared" si="306"/>
        <v xml:space="preserve">          </v>
      </c>
      <c r="P1000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1001" spans="1:16" x14ac:dyDescent="0.25">
      <c r="A1001" t="str">
        <f t="shared" si="292"/>
        <v>10</v>
      </c>
      <c r="B1001" t="str">
        <f t="shared" si="307"/>
        <v>24</v>
      </c>
      <c r="C1001" s="1">
        <v>45316</v>
      </c>
      <c r="D1001" t="str">
        <f>CLEAN("9250-14-21")</f>
        <v>9250-14-21</v>
      </c>
      <c r="E1001" t="str">
        <f>CLEAN("303  ")</f>
        <v xml:space="preserve">303  </v>
      </c>
      <c r="F1001" t="str">
        <f>CLEAN("$0 - $99,999             ")</f>
        <v xml:space="preserve">$0 - $99,999             </v>
      </c>
      <c r="G1001" t="str">
        <f>CLEAN("R/E")</f>
        <v>R/E</v>
      </c>
      <c r="H1001" t="str">
        <f>CLEAN("NONLET CONSTR/REAL ESTATE")</f>
        <v>NONLET CONSTR/REAL ESTATE</v>
      </c>
      <c r="I1001" t="str">
        <f>CLEAN("REAL ESTATE/RESURFACE              ")</f>
        <v xml:space="preserve">REAL ESTATE/RESURFACE              </v>
      </c>
      <c r="J1001" t="str">
        <f>CLEAN("STH 077")</f>
        <v>STH 077</v>
      </c>
      <c r="K1001" t="str">
        <f>CLEAN("IRON                          ")</f>
        <v xml:space="preserve">IRON                          </v>
      </c>
      <c r="L1001" t="str">
        <f>CLEAN("MELLEN - HURLEY                    ")</f>
        <v xml:space="preserve">MELLEN - HURLEY                    </v>
      </c>
      <c r="M1001" t="str">
        <f>CLEAN("UPSON LAKE ROAD TO ODANAH ROAD     ")</f>
        <v xml:space="preserve">UPSON LAKE ROAD TO ODANAH ROAD     </v>
      </c>
      <c r="N1001">
        <v>11.35</v>
      </c>
      <c r="O1001" t="str">
        <f t="shared" si="306"/>
        <v xml:space="preserve">          </v>
      </c>
      <c r="P100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2" spans="1:16" x14ac:dyDescent="0.25">
      <c r="A1002" t="str">
        <f t="shared" si="292"/>
        <v>10</v>
      </c>
      <c r="B1002" t="str">
        <f t="shared" si="307"/>
        <v>24</v>
      </c>
      <c r="C1002" s="1">
        <v>45636</v>
      </c>
      <c r="D1002" t="str">
        <f>CLEAN("9302-00-70")</f>
        <v>9302-00-70</v>
      </c>
      <c r="E1002" t="str">
        <f>CLEAN("205  ")</f>
        <v xml:space="preserve">205  </v>
      </c>
      <c r="F1002" t="str">
        <f>CLEAN("$500,000 - $749,999      ")</f>
        <v xml:space="preserve">$500,000 - $749,999      </v>
      </c>
      <c r="G1002" t="str">
        <f>CLEAN("LET")</f>
        <v>LET</v>
      </c>
      <c r="H1002" t="str">
        <f>CLEAN("LET CONSTRUCTION         ")</f>
        <v xml:space="preserve">LET CONSTRUCTION         </v>
      </c>
      <c r="I1002" t="str">
        <f>CLEAN("CONST/REPLACEMENT                  ")</f>
        <v xml:space="preserve">CONST/REPLACEMENT                  </v>
      </c>
      <c r="J1002" t="str">
        <f>CLEAN("LOC STR")</f>
        <v>LOC STR</v>
      </c>
      <c r="K1002" t="str">
        <f>CLEAN("SHAWANO                       ")</f>
        <v xml:space="preserve">SHAWANO                       </v>
      </c>
      <c r="L1002" t="str">
        <f>CLEAN("T SENECA, SCHOOL HOUSE ROAD        ")</f>
        <v xml:space="preserve">T SENECA, SCHOOL HOUSE ROAD        </v>
      </c>
      <c r="M1002" t="str">
        <f>CLEAN("N BRANCH EMBARRASS RIVER, P-58-0089")</f>
        <v>N BRANCH EMBARRASS RIVER, P-58-0089</v>
      </c>
      <c r="N1002">
        <v>0</v>
      </c>
      <c r="O1002" t="str">
        <f t="shared" si="306"/>
        <v xml:space="preserve">          </v>
      </c>
      <c r="P100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3" spans="1:16" x14ac:dyDescent="0.25">
      <c r="A1003" t="str">
        <f t="shared" si="292"/>
        <v>10</v>
      </c>
      <c r="B1003" t="str">
        <f t="shared" si="307"/>
        <v>24</v>
      </c>
      <c r="C1003" s="1">
        <v>45636</v>
      </c>
      <c r="D1003" t="str">
        <f>CLEAN("9303-03-71")</f>
        <v>9303-03-71</v>
      </c>
      <c r="E1003" t="str">
        <f>CLEAN("303  ")</f>
        <v xml:space="preserve">303  </v>
      </c>
      <c r="F1003" t="str">
        <f>CLEAN("$3,000,000 - $3,999,999  ")</f>
        <v xml:space="preserve">$3,000,000 - $3,999,999  </v>
      </c>
      <c r="G1003" t="str">
        <f>CLEAN("LET")</f>
        <v>LET</v>
      </c>
      <c r="H1003" t="str">
        <f>CLEAN("LET CONSTRUCTION         ")</f>
        <v xml:space="preserve">LET CONSTRUCTION         </v>
      </c>
      <c r="I1003" t="str">
        <f>CLEAN("CONST/PAVEMENT REPLACEMENT         ")</f>
        <v xml:space="preserve">CONST/PAVEMENT REPLACEMENT         </v>
      </c>
      <c r="J1003" t="str">
        <f>CLEAN("STH 122")</f>
        <v>STH 122</v>
      </c>
      <c r="K1003" t="str">
        <f>CLEAN("IRON                          ")</f>
        <v xml:space="preserve">IRON                          </v>
      </c>
      <c r="L1003" t="str">
        <f>CLEAN("UPSON - MONTREAL RIVER             ")</f>
        <v xml:space="preserve">UPSON - MONTREAL RIVER             </v>
      </c>
      <c r="M1003" t="str">
        <f>CLEAN("STH 77 TO SOUTH JUNCTION CTH B     ")</f>
        <v xml:space="preserve">STH 77 TO SOUTH JUNCTION CTH B     </v>
      </c>
      <c r="N1003">
        <v>9.68</v>
      </c>
      <c r="O1003" t="str">
        <f t="shared" si="306"/>
        <v xml:space="preserve">          </v>
      </c>
      <c r="P100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4" spans="1:16" x14ac:dyDescent="0.25">
      <c r="A1004" t="str">
        <f t="shared" si="292"/>
        <v>10</v>
      </c>
      <c r="B1004" t="str">
        <f t="shared" si="307"/>
        <v>24</v>
      </c>
      <c r="C1004" s="1">
        <v>45529</v>
      </c>
      <c r="D1004" t="str">
        <f>CLEAN("9306-00-20")</f>
        <v>9306-00-20</v>
      </c>
      <c r="E1004" t="str">
        <f>CLEAN("303  ")</f>
        <v xml:space="preserve">303  </v>
      </c>
      <c r="F1004" t="str">
        <f>CLEAN("$0 - $99,999             ")</f>
        <v xml:space="preserve">$0 - $99,999             </v>
      </c>
      <c r="G1004" t="str">
        <f>CLEAN("R/E")</f>
        <v>R/E</v>
      </c>
      <c r="H1004" t="str">
        <f>CLEAN("NONLET CONSTR/REAL ESTATE")</f>
        <v>NONLET CONSTR/REAL ESTATE</v>
      </c>
      <c r="I1004" t="str">
        <f>CLEAN("REAL ESTATE/RESURFACE              ")</f>
        <v xml:space="preserve">REAL ESTATE/RESURFACE              </v>
      </c>
      <c r="J1004" t="str">
        <f>CLEAN("STH 052")</f>
        <v>STH 052</v>
      </c>
      <c r="K1004" t="str">
        <f>CLEAN("FOREST                        ")</f>
        <v xml:space="preserve">FOREST                        </v>
      </c>
      <c r="L1004" t="str">
        <f>CLEAN("LILY - LAONA                       ")</f>
        <v xml:space="preserve">LILY - LAONA                       </v>
      </c>
      <c r="M1004" t="str">
        <f>CLEAN("LANGLADE COUNTY LINE TO STH 32     ")</f>
        <v xml:space="preserve">LANGLADE COUNTY LINE TO STH 32     </v>
      </c>
      <c r="N1004">
        <v>11.35</v>
      </c>
      <c r="O1004" t="str">
        <f t="shared" si="306"/>
        <v xml:space="preserve">          </v>
      </c>
      <c r="P100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5" spans="1:16" x14ac:dyDescent="0.25">
      <c r="A1005" t="str">
        <f t="shared" si="292"/>
        <v>10</v>
      </c>
      <c r="B1005" t="str">
        <f t="shared" si="307"/>
        <v>24</v>
      </c>
      <c r="C1005" s="1">
        <v>45636</v>
      </c>
      <c r="D1005" t="str">
        <f>CLEAN("9330-01-70")</f>
        <v>9330-01-70</v>
      </c>
      <c r="E1005" t="str">
        <f>CLEAN("206  ")</f>
        <v xml:space="preserve">206  </v>
      </c>
      <c r="F1005" t="str">
        <f>CLEAN("$1,000,000 - $1,999,999  ")</f>
        <v xml:space="preserve">$1,000,000 - $1,999,999  </v>
      </c>
      <c r="G1005" t="str">
        <f t="shared" ref="G1005:G1027" si="308">CLEAN("LET")</f>
        <v>LET</v>
      </c>
      <c r="H1005" t="str">
        <f t="shared" ref="H1005:H1027" si="309">CLEAN("LET CONSTRUCTION         ")</f>
        <v xml:space="preserve">LET CONSTRUCTION         </v>
      </c>
      <c r="I1005" t="str">
        <f>CLEAN("CONST/FLAP PROG REPLACEMENT        ")</f>
        <v xml:space="preserve">CONST/FLAP PROG REPLACEMENT        </v>
      </c>
      <c r="J1005" t="str">
        <f>CLEAN("CTH C  ")</f>
        <v xml:space="preserve">CTH C  </v>
      </c>
      <c r="K1005" t="str">
        <f>CLEAN("FOREST                        ")</f>
        <v xml:space="preserve">FOREST                        </v>
      </c>
      <c r="L1005" t="str">
        <f>CLEAN("T WABENO, SOPER STREET             ")</f>
        <v xml:space="preserve">T WABENO, SOPER STREET             </v>
      </c>
      <c r="M1005" t="str">
        <f>CLEAN("N BR OCONTO RIVER BRIDGE B210033   ")</f>
        <v xml:space="preserve">N BR OCONTO RIVER BRIDGE B210033   </v>
      </c>
      <c r="N1005">
        <v>2.8000000000000001E-2</v>
      </c>
      <c r="O1005" t="str">
        <f t="shared" si="306"/>
        <v xml:space="preserve">          </v>
      </c>
      <c r="P1005" t="str">
        <f>CLEAN("FOREST HWYS/PUBLIC LANDS/FLAP                                                                       ")</f>
        <v xml:space="preserve">FOREST HWYS/PUBLIC LANDS/FLAP                                                                       </v>
      </c>
    </row>
    <row r="1006" spans="1:16" x14ac:dyDescent="0.25">
      <c r="A1006" t="str">
        <f t="shared" si="292"/>
        <v>10</v>
      </c>
      <c r="B1006" t="str">
        <f t="shared" si="307"/>
        <v>24</v>
      </c>
      <c r="C1006" s="1">
        <v>45608</v>
      </c>
      <c r="D1006" t="str">
        <f>CLEAN("9360-02-73")</f>
        <v>9360-02-73</v>
      </c>
      <c r="E1006" t="str">
        <f>CLEAN("206  ")</f>
        <v xml:space="preserve">206  </v>
      </c>
      <c r="F1006" t="str">
        <f>CLEAN("$1,000,000 - $1,999,999  ")</f>
        <v xml:space="preserve">$1,000,000 - $1,999,999  </v>
      </c>
      <c r="G1006" t="str">
        <f t="shared" si="308"/>
        <v>LET</v>
      </c>
      <c r="H1006" t="str">
        <f t="shared" si="309"/>
        <v xml:space="preserve">LET CONSTRUCTION         </v>
      </c>
      <c r="I1006" t="str">
        <f>CLEAN("CONST/RECONSTRUCT                  ")</f>
        <v xml:space="preserve">CONST/RECONSTRUCT                  </v>
      </c>
      <c r="J1006" t="str">
        <f>CLEAN("CTH B  ")</f>
        <v xml:space="preserve">CTH B  </v>
      </c>
      <c r="K1006" t="str">
        <f>CLEAN("LANGLADE                      ")</f>
        <v xml:space="preserve">LANGLADE                      </v>
      </c>
      <c r="L1006" t="str">
        <f>CLEAN("USH 45 - CTH V                     ")</f>
        <v xml:space="preserve">USH 45 - CTH V                     </v>
      </c>
      <c r="M1006" t="str">
        <f>CLEAN("CHILLIE ROAD TO SHIMEK LANE        ")</f>
        <v xml:space="preserve">CHILLIE ROAD TO SHIMEK LANE        </v>
      </c>
      <c r="N1006">
        <v>1.19</v>
      </c>
      <c r="O1006" t="str">
        <f t="shared" si="306"/>
        <v xml:space="preserve">          </v>
      </c>
      <c r="P100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07" spans="1:16" x14ac:dyDescent="0.25">
      <c r="A1007" t="str">
        <f t="shared" si="292"/>
        <v>10</v>
      </c>
      <c r="B1007" t="str">
        <f t="shared" si="307"/>
        <v>24</v>
      </c>
      <c r="C1007" s="1">
        <v>45363</v>
      </c>
      <c r="D1007" t="str">
        <f>CLEAN("9431-00-70")</f>
        <v>9431-00-70</v>
      </c>
      <c r="E1007" t="str">
        <f>CLEAN("205  ")</f>
        <v xml:space="preserve">205  </v>
      </c>
      <c r="F1007" t="str">
        <f>CLEAN("$250,000 - $499,999      ")</f>
        <v xml:space="preserve">$250,000 - $499,999      </v>
      </c>
      <c r="G1007" t="str">
        <f t="shared" si="308"/>
        <v>LET</v>
      </c>
      <c r="H1007" t="str">
        <f t="shared" si="309"/>
        <v xml:space="preserve">LET CONSTRUCTION         </v>
      </c>
      <c r="I1007" t="str">
        <f>CLEAN("CONST/REPLACEMENT                  ")</f>
        <v xml:space="preserve">CONST/REPLACEMENT                  </v>
      </c>
      <c r="J1007" t="str">
        <f>CLEAN("CTH X  ")</f>
        <v xml:space="preserve">CTH X  </v>
      </c>
      <c r="K1007" t="str">
        <f>CLEAN("LINCOLN                       ")</f>
        <v xml:space="preserve">LINCOLN                       </v>
      </c>
      <c r="L1007" t="str">
        <f>CLEAN("T PINE RIVER, CTH X                ")</f>
        <v xml:space="preserve">T PINE RIVER, CTH X                </v>
      </c>
      <c r="M1007" t="str">
        <f>CLEAN("LITTLE OXBO CREEK BRIDGE B-35-0159 ")</f>
        <v xml:space="preserve">LITTLE OXBO CREEK BRIDGE B-35-0159 </v>
      </c>
      <c r="N1007">
        <v>0</v>
      </c>
      <c r="O1007" t="str">
        <f t="shared" si="306"/>
        <v xml:space="preserve">          </v>
      </c>
      <c r="P100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8" spans="1:16" x14ac:dyDescent="0.25">
      <c r="A1008" t="str">
        <f t="shared" si="292"/>
        <v>10</v>
      </c>
      <c r="B1008" t="str">
        <f t="shared" si="307"/>
        <v>24</v>
      </c>
      <c r="C1008" s="1">
        <v>45363</v>
      </c>
      <c r="D1008" t="str">
        <f>CLEAN("9478-06-70")</f>
        <v>9478-06-70</v>
      </c>
      <c r="E1008" t="str">
        <f>CLEAN("205  ")</f>
        <v xml:space="preserve">205  </v>
      </c>
      <c r="F1008" t="str">
        <f>CLEAN("$500,000 - $749,999      ")</f>
        <v xml:space="preserve">$500,000 - $749,999      </v>
      </c>
      <c r="G1008" t="str">
        <f t="shared" si="308"/>
        <v>LET</v>
      </c>
      <c r="H1008" t="str">
        <f t="shared" si="309"/>
        <v xml:space="preserve">LET CONSTRUCTION         </v>
      </c>
      <c r="I1008" t="str">
        <f>CLEAN("CONST/REPLACEMENT                  ")</f>
        <v xml:space="preserve">CONST/REPLACEMENT                  </v>
      </c>
      <c r="J1008" t="str">
        <f>CLEAN("CTH L  ")</f>
        <v xml:space="preserve">CTH L  </v>
      </c>
      <c r="K1008" t="str">
        <f>CLEAN("MARATHON                      ")</f>
        <v xml:space="preserve">MARATHON                      </v>
      </c>
      <c r="L1008" t="str">
        <f>CLEAN("T BERN, CTH L                      ")</f>
        <v xml:space="preserve">T BERN, CTH L                      </v>
      </c>
      <c r="M1008" t="str">
        <f>CLEAN("BLACK CREEK BRIDGE B-37-0464       ")</f>
        <v xml:space="preserve">BLACK CREEK BRIDGE B-37-0464       </v>
      </c>
      <c r="N1008">
        <v>0.04</v>
      </c>
      <c r="O1008" t="str">
        <f t="shared" si="306"/>
        <v xml:space="preserve">          </v>
      </c>
      <c r="P100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9" spans="1:16" x14ac:dyDescent="0.25">
      <c r="A1009" t="str">
        <f t="shared" si="292"/>
        <v>10</v>
      </c>
      <c r="B1009" t="str">
        <f t="shared" si="307"/>
        <v>24</v>
      </c>
      <c r="C1009" s="1">
        <v>45608</v>
      </c>
      <c r="D1009" t="str">
        <f>CLEAN("9479-00-74")</f>
        <v>9479-00-74</v>
      </c>
      <c r="E1009" t="str">
        <f>CLEAN("205  ")</f>
        <v xml:space="preserve">205  </v>
      </c>
      <c r="F1009" t="str">
        <f>CLEAN("$2,000,000 - $2,999,999  ")</f>
        <v xml:space="preserve">$2,000,000 - $2,999,999  </v>
      </c>
      <c r="G1009" t="str">
        <f t="shared" si="308"/>
        <v>LET</v>
      </c>
      <c r="H1009" t="str">
        <f t="shared" si="309"/>
        <v xml:space="preserve">LET CONSTRUCTION         </v>
      </c>
      <c r="I1009" t="str">
        <f>CLEAN("CONST/REPLACEMENT                  ")</f>
        <v xml:space="preserve">CONST/REPLACEMENT                  </v>
      </c>
      <c r="J1009" t="str">
        <f>CLEAN("CTH A  ")</f>
        <v xml:space="preserve">CTH A  </v>
      </c>
      <c r="K1009" t="str">
        <f>CLEAN("MARATHON                      ")</f>
        <v xml:space="preserve">MARATHON                      </v>
      </c>
      <c r="L1009" t="str">
        <f>CLEAN("CTH H - CTH S                      ")</f>
        <v xml:space="preserve">CTH H - CTH S                      </v>
      </c>
      <c r="M1009" t="str">
        <f>CLEAN("BIG RIB RIVER BRIDGE B-37-0025     ")</f>
        <v xml:space="preserve">BIG RIB RIVER BRIDGE B-37-0025     </v>
      </c>
      <c r="N1009">
        <v>0</v>
      </c>
      <c r="O1009" t="str">
        <f t="shared" si="306"/>
        <v xml:space="preserve">          </v>
      </c>
      <c r="P100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10" spans="1:16" x14ac:dyDescent="0.25">
      <c r="A1010" t="str">
        <f t="shared" si="292"/>
        <v>10</v>
      </c>
      <c r="B1010" t="str">
        <f t="shared" si="307"/>
        <v>24</v>
      </c>
      <c r="C1010" s="1">
        <v>45608</v>
      </c>
      <c r="D1010" t="str">
        <f>CLEAN("9493-00-70")</f>
        <v>9493-00-70</v>
      </c>
      <c r="E1010" t="str">
        <f>CLEAN("206  ")</f>
        <v xml:space="preserve">206  </v>
      </c>
      <c r="F1010" t="str">
        <f>CLEAN("$1,000,000 - $1,999,999  ")</f>
        <v xml:space="preserve">$1,000,000 - $1,999,999  </v>
      </c>
      <c r="G1010" t="str">
        <f t="shared" si="308"/>
        <v>LET</v>
      </c>
      <c r="H1010" t="str">
        <f t="shared" si="309"/>
        <v xml:space="preserve">LET CONSTRUCTION         </v>
      </c>
      <c r="I1010" t="str">
        <f>CLEAN("CONST/FLAP PROG PVRPLA             ")</f>
        <v xml:space="preserve">CONST/FLAP PROG PVRPLA             </v>
      </c>
      <c r="J1010" t="str">
        <f>CLEAN("CTH A  ")</f>
        <v xml:space="preserve">CTH A  </v>
      </c>
      <c r="K1010" t="str">
        <f>CLEAN("VILAS                         ")</f>
        <v xml:space="preserve">VILAS                         </v>
      </c>
      <c r="L1010" t="str">
        <f>CLEAN("T PHELPS, CTH A                    ")</f>
        <v xml:space="preserve">T PHELPS, CTH A                    </v>
      </c>
      <c r="M1010" t="str">
        <f>CLEAN("STH 17 TO EAGLE FARM ROAD          ")</f>
        <v xml:space="preserve">STH 17 TO EAGLE FARM ROAD          </v>
      </c>
      <c r="N1010">
        <v>4.0199999999999996</v>
      </c>
      <c r="O1010" t="str">
        <f t="shared" si="306"/>
        <v xml:space="preserve">          </v>
      </c>
      <c r="P1010" t="str">
        <f>CLEAN("FOREST HWYS/PUBLIC LANDS/FLAP                                                                       ")</f>
        <v xml:space="preserve">FOREST HWYS/PUBLIC LANDS/FLAP                                                                       </v>
      </c>
    </row>
    <row r="1011" spans="1:16" x14ac:dyDescent="0.25">
      <c r="A1011" t="str">
        <f t="shared" si="292"/>
        <v>10</v>
      </c>
      <c r="B1011" t="str">
        <f t="shared" si="307"/>
        <v>24</v>
      </c>
      <c r="C1011" s="1">
        <v>45608</v>
      </c>
      <c r="D1011" t="str">
        <f>CLEAN("9513-01-70")</f>
        <v>9513-01-70</v>
      </c>
      <c r="E1011" t="str">
        <f>CLEAN("206  ")</f>
        <v xml:space="preserve">206  </v>
      </c>
      <c r="F1011" t="str">
        <f>CLEAN("$2,000,000 - $2,999,999  ")</f>
        <v xml:space="preserve">$2,000,000 - $2,999,999  </v>
      </c>
      <c r="G1011" t="str">
        <f t="shared" si="308"/>
        <v>LET</v>
      </c>
      <c r="H1011" t="str">
        <f t="shared" si="309"/>
        <v xml:space="preserve">LET CONSTRUCTION         </v>
      </c>
      <c r="I1011" t="str">
        <f>CLEAN("CONST/RECONSTRUCT                  ")</f>
        <v xml:space="preserve">CONST/RECONSTRUCT                  </v>
      </c>
      <c r="J1011" t="str">
        <f>CLEAN("CTH S  ")</f>
        <v xml:space="preserve">CTH S  </v>
      </c>
      <c r="K1011" t="str">
        <f>CLEAN("VILAS                         ")</f>
        <v xml:space="preserve">VILAS                         </v>
      </c>
      <c r="L1011" t="str">
        <f>CLEAN("CTH K - CTH B                      ")</f>
        <v xml:space="preserve">CTH K - CTH B                      </v>
      </c>
      <c r="M1011" t="str">
        <f>CLEAN("E FLOWAGE ROAD TO RUMMELS ROAD     ")</f>
        <v xml:space="preserve">E FLOWAGE ROAD TO RUMMELS ROAD     </v>
      </c>
      <c r="N1011">
        <v>2.278</v>
      </c>
      <c r="O1011" t="str">
        <f t="shared" si="306"/>
        <v xml:space="preserve">          </v>
      </c>
      <c r="P101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12" spans="1:16" x14ac:dyDescent="0.25">
      <c r="A1012" t="str">
        <f t="shared" si="292"/>
        <v>10</v>
      </c>
      <c r="B1012" t="str">
        <f t="shared" si="307"/>
        <v>24</v>
      </c>
      <c r="C1012" s="1">
        <v>45608</v>
      </c>
      <c r="D1012" t="str">
        <f>CLEAN("9517-04-72")</f>
        <v>9517-04-72</v>
      </c>
      <c r="E1012" t="str">
        <f t="shared" ref="E1012:E1027" si="310">CLEAN("205  ")</f>
        <v xml:space="preserve">205  </v>
      </c>
      <c r="F1012" t="str">
        <f>CLEAN("$500,000 - $749,999      ")</f>
        <v xml:space="preserve">$500,000 - $749,999      </v>
      </c>
      <c r="G1012" t="str">
        <f t="shared" si="308"/>
        <v>LET</v>
      </c>
      <c r="H1012" t="str">
        <f t="shared" si="309"/>
        <v xml:space="preserve">LET CONSTRUCTION         </v>
      </c>
      <c r="I1012" t="str">
        <f>CLEAN("CONST/REPLACEMENT                  ")</f>
        <v xml:space="preserve">CONST/REPLACEMENT                  </v>
      </c>
      <c r="J1012" t="str">
        <f t="shared" ref="J1012:J1027" si="311">CLEAN("LOC STR")</f>
        <v>LOC STR</v>
      </c>
      <c r="K1012" t="str">
        <f>CLEAN("MARATHON                      ")</f>
        <v xml:space="preserve">MARATHON                      </v>
      </c>
      <c r="L1012" t="str">
        <f>CLEAN("T HOLTON, POPE AVENUE              ")</f>
        <v xml:space="preserve">T HOLTON, POPE AVENUE              </v>
      </c>
      <c r="M1012" t="str">
        <f>CLEAN("W BR BIG EAU PLEINE RVR BDGE B37476")</f>
        <v>W BR BIG EAU PLEINE RVR BDGE B37476</v>
      </c>
      <c r="N1012">
        <v>0</v>
      </c>
      <c r="O1012" t="str">
        <f t="shared" si="306"/>
        <v xml:space="preserve">          </v>
      </c>
      <c r="P1012" t="str">
        <f t="shared" ref="P1012:P1027" si="312"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13" spans="1:16" x14ac:dyDescent="0.25">
      <c r="A1013" t="str">
        <f t="shared" si="292"/>
        <v>10</v>
      </c>
      <c r="B1013" t="str">
        <f t="shared" ref="B1013:B1025" si="313">CLEAN("25")</f>
        <v>25</v>
      </c>
      <c r="C1013" s="1">
        <v>45608</v>
      </c>
      <c r="D1013" t="str">
        <f>CLEAN("9547-00-70")</f>
        <v>9547-00-70</v>
      </c>
      <c r="E1013" t="str">
        <f t="shared" si="310"/>
        <v xml:space="preserve">205  </v>
      </c>
      <c r="F1013" t="str">
        <f t="shared" ref="F1013:F1019" si="314">CLEAN("$250,000 - $499,999      ")</f>
        <v xml:space="preserve">$250,000 - $499,999      </v>
      </c>
      <c r="G1013" t="str">
        <f t="shared" si="308"/>
        <v>LET</v>
      </c>
      <c r="H1013" t="str">
        <f t="shared" si="309"/>
        <v xml:space="preserve">LET CONSTRUCTION         </v>
      </c>
      <c r="I1013" t="str">
        <f t="shared" ref="I1013:I1025" si="315">CLEAN("CONSTRUCTION/BRIDGE REPLACEMENT    ")</f>
        <v xml:space="preserve">CONSTRUCTION/BRIDGE REPLACEMENT    </v>
      </c>
      <c r="J1013" t="str">
        <f t="shared" si="311"/>
        <v>LOC STR</v>
      </c>
      <c r="K1013" t="str">
        <f t="shared" ref="K1013:K1025" si="316">CLEAN("TAYLOR                        ")</f>
        <v xml:space="preserve">TAYLOR                        </v>
      </c>
      <c r="L1013" t="str">
        <f>CLEAN("T BROWNING, GRAHLE DRIVE           ")</f>
        <v xml:space="preserve">T BROWNING, GRAHLE DRIVE           </v>
      </c>
      <c r="M1013" t="str">
        <f>CLEAN("E BR LITTLE BLACK RIV BRG B-60-0156")</f>
        <v>E BR LITTLE BLACK RIV BRG B-60-0156</v>
      </c>
      <c r="N1013">
        <v>0</v>
      </c>
      <c r="O1013" t="str">
        <f t="shared" si="306"/>
        <v xml:space="preserve">          </v>
      </c>
      <c r="P1013" t="str">
        <f t="shared" si="312"/>
        <v xml:space="preserve">LOCAL BRIDGES                                                                                       </v>
      </c>
    </row>
    <row r="1014" spans="1:16" x14ac:dyDescent="0.25">
      <c r="A1014" t="str">
        <f t="shared" si="292"/>
        <v>10</v>
      </c>
      <c r="B1014" t="str">
        <f t="shared" si="313"/>
        <v>25</v>
      </c>
      <c r="C1014" s="1">
        <v>45608</v>
      </c>
      <c r="D1014" t="str">
        <f>CLEAN("9549-00-70")</f>
        <v>9549-00-70</v>
      </c>
      <c r="E1014" t="str">
        <f t="shared" si="310"/>
        <v xml:space="preserve">205  </v>
      </c>
      <c r="F1014" t="str">
        <f t="shared" si="314"/>
        <v xml:space="preserve">$250,000 - $499,999      </v>
      </c>
      <c r="G1014" t="str">
        <f t="shared" si="308"/>
        <v>LET</v>
      </c>
      <c r="H1014" t="str">
        <f t="shared" si="309"/>
        <v xml:space="preserve">LET CONSTRUCTION         </v>
      </c>
      <c r="I1014" t="str">
        <f t="shared" si="315"/>
        <v xml:space="preserve">CONSTRUCTION/BRIDGE REPLACEMENT    </v>
      </c>
      <c r="J1014" t="str">
        <f t="shared" si="311"/>
        <v>LOC STR</v>
      </c>
      <c r="K1014" t="str">
        <f t="shared" si="316"/>
        <v xml:space="preserve">TAYLOR                        </v>
      </c>
      <c r="L1014" t="str">
        <f>CLEAN("T DEER CREEK, ELM AVENUE (1)       ")</f>
        <v xml:space="preserve">T DEER CREEK, ELM AVENUE (1)       </v>
      </c>
      <c r="M1014" t="str">
        <f>CLEAN("DEER CREEK BRIDGE B-60-0162        ")</f>
        <v xml:space="preserve">DEER CREEK BRIDGE B-60-0162        </v>
      </c>
      <c r="N1014">
        <v>0</v>
      </c>
      <c r="O1014" t="str">
        <f>CLEAN("9549-00-71")</f>
        <v>9549-00-71</v>
      </c>
      <c r="P1014" t="str">
        <f t="shared" si="312"/>
        <v xml:space="preserve">LOCAL BRIDGES                                                                                       </v>
      </c>
    </row>
    <row r="1015" spans="1:16" x14ac:dyDescent="0.25">
      <c r="A1015" t="str">
        <f t="shared" si="292"/>
        <v>10</v>
      </c>
      <c r="B1015" t="str">
        <f t="shared" si="313"/>
        <v>25</v>
      </c>
      <c r="C1015" s="1">
        <v>45608</v>
      </c>
      <c r="D1015" t="str">
        <f>CLEAN("9549-00-70")</f>
        <v>9549-00-70</v>
      </c>
      <c r="E1015" t="str">
        <f t="shared" si="310"/>
        <v xml:space="preserve">205  </v>
      </c>
      <c r="F1015" t="str">
        <f t="shared" si="314"/>
        <v xml:space="preserve">$250,000 - $499,999      </v>
      </c>
      <c r="G1015" t="str">
        <f t="shared" si="308"/>
        <v>LET</v>
      </c>
      <c r="H1015" t="str">
        <f t="shared" si="309"/>
        <v xml:space="preserve">LET CONSTRUCTION         </v>
      </c>
      <c r="I1015" t="str">
        <f t="shared" si="315"/>
        <v xml:space="preserve">CONSTRUCTION/BRIDGE REPLACEMENT    </v>
      </c>
      <c r="J1015" t="str">
        <f t="shared" si="311"/>
        <v>LOC STR</v>
      </c>
      <c r="K1015" t="str">
        <f t="shared" si="316"/>
        <v xml:space="preserve">TAYLOR                        </v>
      </c>
      <c r="L1015" t="str">
        <f>CLEAN("T DEER CREEK, ELM AVENUE (1)       ")</f>
        <v xml:space="preserve">T DEER CREEK, ELM AVENUE (1)       </v>
      </c>
      <c r="M1015" t="str">
        <f>CLEAN("DEER CREEK BRIDGE B-60-0162        ")</f>
        <v xml:space="preserve">DEER CREEK BRIDGE B-60-0162        </v>
      </c>
      <c r="N1015">
        <v>0</v>
      </c>
      <c r="O1015" t="str">
        <f>CLEAN("9549-00-72")</f>
        <v>9549-00-72</v>
      </c>
      <c r="P1015" t="str">
        <f t="shared" si="312"/>
        <v xml:space="preserve">LOCAL BRIDGES                                                                                       </v>
      </c>
    </row>
    <row r="1016" spans="1:16" x14ac:dyDescent="0.25">
      <c r="A1016" t="str">
        <f t="shared" ref="A1016:A1041" si="317">CLEAN("10")</f>
        <v>10</v>
      </c>
      <c r="B1016" t="str">
        <f t="shared" si="313"/>
        <v>25</v>
      </c>
      <c r="C1016" s="1">
        <v>45608</v>
      </c>
      <c r="D1016" t="str">
        <f>CLEAN("9549-00-70")</f>
        <v>9549-00-70</v>
      </c>
      <c r="E1016" t="str">
        <f t="shared" si="310"/>
        <v xml:space="preserve">205  </v>
      </c>
      <c r="F1016" t="str">
        <f t="shared" si="314"/>
        <v xml:space="preserve">$250,000 - $499,999      </v>
      </c>
      <c r="G1016" t="str">
        <f t="shared" si="308"/>
        <v>LET</v>
      </c>
      <c r="H1016" t="str">
        <f t="shared" si="309"/>
        <v xml:space="preserve">LET CONSTRUCTION         </v>
      </c>
      <c r="I1016" t="str">
        <f t="shared" si="315"/>
        <v xml:space="preserve">CONSTRUCTION/BRIDGE REPLACEMENT    </v>
      </c>
      <c r="J1016" t="str">
        <f t="shared" si="311"/>
        <v>LOC STR</v>
      </c>
      <c r="K1016" t="str">
        <f t="shared" si="316"/>
        <v xml:space="preserve">TAYLOR                        </v>
      </c>
      <c r="L1016" t="str">
        <f>CLEAN("T DEER CREEK, ELM AVENUE (1)       ")</f>
        <v xml:space="preserve">T DEER CREEK, ELM AVENUE (1)       </v>
      </c>
      <c r="M1016" t="str">
        <f>CLEAN("DEER CREEK BRIDGE B-60-0162        ")</f>
        <v xml:space="preserve">DEER CREEK BRIDGE B-60-0162        </v>
      </c>
      <c r="N1016">
        <v>0</v>
      </c>
      <c r="O1016" t="str">
        <f>CLEAN("9549-00-73")</f>
        <v>9549-00-73</v>
      </c>
      <c r="P1016" t="str">
        <f t="shared" si="312"/>
        <v xml:space="preserve">LOCAL BRIDGES                                                                                       </v>
      </c>
    </row>
    <row r="1017" spans="1:16" x14ac:dyDescent="0.25">
      <c r="A1017" t="str">
        <f t="shared" si="317"/>
        <v>10</v>
      </c>
      <c r="B1017" t="str">
        <f t="shared" si="313"/>
        <v>25</v>
      </c>
      <c r="C1017" s="1">
        <v>45608</v>
      </c>
      <c r="D1017" t="str">
        <f>CLEAN("9549-00-71")</f>
        <v>9549-00-71</v>
      </c>
      <c r="E1017" t="str">
        <f t="shared" si="310"/>
        <v xml:space="preserve">205  </v>
      </c>
      <c r="F1017" t="str">
        <f t="shared" si="314"/>
        <v xml:space="preserve">$250,000 - $499,999      </v>
      </c>
      <c r="G1017" t="str">
        <f t="shared" si="308"/>
        <v>LET</v>
      </c>
      <c r="H1017" t="str">
        <f t="shared" si="309"/>
        <v xml:space="preserve">LET CONSTRUCTION         </v>
      </c>
      <c r="I1017" t="str">
        <f t="shared" si="315"/>
        <v xml:space="preserve">CONSTRUCTION/BRIDGE REPLACEMENT    </v>
      </c>
      <c r="J1017" t="str">
        <f t="shared" si="311"/>
        <v>LOC STR</v>
      </c>
      <c r="K1017" t="str">
        <f t="shared" si="316"/>
        <v xml:space="preserve">TAYLOR                        </v>
      </c>
      <c r="L1017" t="str">
        <f>CLEAN("T DEER CREEK, ROBIN DRIVE          ")</f>
        <v xml:space="preserve">T DEER CREEK, ROBIN DRIVE          </v>
      </c>
      <c r="M1017" t="str">
        <f>CLEAN("DEER CREEK BRIDGE B-60-0161        ")</f>
        <v xml:space="preserve">DEER CREEK BRIDGE B-60-0161        </v>
      </c>
      <c r="N1017">
        <v>0</v>
      </c>
      <c r="O1017" t="str">
        <f>CLEAN("9549-00-70")</f>
        <v>9549-00-70</v>
      </c>
      <c r="P1017" t="str">
        <f t="shared" si="312"/>
        <v xml:space="preserve">LOCAL BRIDGES                                                                                       </v>
      </c>
    </row>
    <row r="1018" spans="1:16" x14ac:dyDescent="0.25">
      <c r="A1018" t="str">
        <f t="shared" si="317"/>
        <v>10</v>
      </c>
      <c r="B1018" t="str">
        <f t="shared" si="313"/>
        <v>25</v>
      </c>
      <c r="C1018" s="1">
        <v>45608</v>
      </c>
      <c r="D1018" t="str">
        <f>CLEAN("9549-00-71")</f>
        <v>9549-00-71</v>
      </c>
      <c r="E1018" t="str">
        <f t="shared" si="310"/>
        <v xml:space="preserve">205  </v>
      </c>
      <c r="F1018" t="str">
        <f t="shared" si="314"/>
        <v xml:space="preserve">$250,000 - $499,999      </v>
      </c>
      <c r="G1018" t="str">
        <f t="shared" si="308"/>
        <v>LET</v>
      </c>
      <c r="H1018" t="str">
        <f t="shared" si="309"/>
        <v xml:space="preserve">LET CONSTRUCTION         </v>
      </c>
      <c r="I1018" t="str">
        <f t="shared" si="315"/>
        <v xml:space="preserve">CONSTRUCTION/BRIDGE REPLACEMENT    </v>
      </c>
      <c r="J1018" t="str">
        <f t="shared" si="311"/>
        <v>LOC STR</v>
      </c>
      <c r="K1018" t="str">
        <f t="shared" si="316"/>
        <v xml:space="preserve">TAYLOR                        </v>
      </c>
      <c r="L1018" t="str">
        <f>CLEAN("T DEER CREEK, ROBIN DRIVE          ")</f>
        <v xml:space="preserve">T DEER CREEK, ROBIN DRIVE          </v>
      </c>
      <c r="M1018" t="str">
        <f>CLEAN("DEER CREEK BRIDGE B-60-0161        ")</f>
        <v xml:space="preserve">DEER CREEK BRIDGE B-60-0161        </v>
      </c>
      <c r="N1018">
        <v>0</v>
      </c>
      <c r="O1018" t="str">
        <f>CLEAN("9549-00-72")</f>
        <v>9549-00-72</v>
      </c>
      <c r="P1018" t="str">
        <f t="shared" si="312"/>
        <v xml:space="preserve">LOCAL BRIDGES                                                                                       </v>
      </c>
    </row>
    <row r="1019" spans="1:16" x14ac:dyDescent="0.25">
      <c r="A1019" t="str">
        <f t="shared" si="317"/>
        <v>10</v>
      </c>
      <c r="B1019" t="str">
        <f t="shared" si="313"/>
        <v>25</v>
      </c>
      <c r="C1019" s="1">
        <v>45608</v>
      </c>
      <c r="D1019" t="str">
        <f>CLEAN("9549-00-71")</f>
        <v>9549-00-71</v>
      </c>
      <c r="E1019" t="str">
        <f t="shared" si="310"/>
        <v xml:space="preserve">205  </v>
      </c>
      <c r="F1019" t="str">
        <f t="shared" si="314"/>
        <v xml:space="preserve">$250,000 - $499,999      </v>
      </c>
      <c r="G1019" t="str">
        <f t="shared" si="308"/>
        <v>LET</v>
      </c>
      <c r="H1019" t="str">
        <f t="shared" si="309"/>
        <v xml:space="preserve">LET CONSTRUCTION         </v>
      </c>
      <c r="I1019" t="str">
        <f t="shared" si="315"/>
        <v xml:space="preserve">CONSTRUCTION/BRIDGE REPLACEMENT    </v>
      </c>
      <c r="J1019" t="str">
        <f t="shared" si="311"/>
        <v>LOC STR</v>
      </c>
      <c r="K1019" t="str">
        <f t="shared" si="316"/>
        <v xml:space="preserve">TAYLOR                        </v>
      </c>
      <c r="L1019" t="str">
        <f>CLEAN("T DEER CREEK, ROBIN DRIVE          ")</f>
        <v xml:space="preserve">T DEER CREEK, ROBIN DRIVE          </v>
      </c>
      <c r="M1019" t="str">
        <f>CLEAN("DEER CREEK BRIDGE B-60-0161        ")</f>
        <v xml:space="preserve">DEER CREEK BRIDGE B-60-0161        </v>
      </c>
      <c r="N1019">
        <v>0</v>
      </c>
      <c r="O1019" t="str">
        <f>CLEAN("9549-00-73")</f>
        <v>9549-00-73</v>
      </c>
      <c r="P1019" t="str">
        <f t="shared" si="312"/>
        <v xml:space="preserve">LOCAL BRIDGES                                                                                       </v>
      </c>
    </row>
    <row r="1020" spans="1:16" x14ac:dyDescent="0.25">
      <c r="A1020" t="str">
        <f t="shared" si="317"/>
        <v>10</v>
      </c>
      <c r="B1020" t="str">
        <f t="shared" si="313"/>
        <v>25</v>
      </c>
      <c r="C1020" s="1">
        <v>45608</v>
      </c>
      <c r="D1020" t="str">
        <f>CLEAN("9549-00-72")</f>
        <v>9549-00-72</v>
      </c>
      <c r="E1020" t="str">
        <f t="shared" si="310"/>
        <v xml:space="preserve">205  </v>
      </c>
      <c r="F1020" t="str">
        <f>CLEAN("$500,000 - $749,999      ")</f>
        <v xml:space="preserve">$500,000 - $749,999      </v>
      </c>
      <c r="G1020" t="str">
        <f t="shared" si="308"/>
        <v>LET</v>
      </c>
      <c r="H1020" t="str">
        <f t="shared" si="309"/>
        <v xml:space="preserve">LET CONSTRUCTION         </v>
      </c>
      <c r="I1020" t="str">
        <f t="shared" si="315"/>
        <v xml:space="preserve">CONSTRUCTION/BRIDGE REPLACEMENT    </v>
      </c>
      <c r="J1020" t="str">
        <f t="shared" si="311"/>
        <v>LOC STR</v>
      </c>
      <c r="K1020" t="str">
        <f t="shared" si="316"/>
        <v xml:space="preserve">TAYLOR                        </v>
      </c>
      <c r="L1020" t="str">
        <f>CLEAN("T DEER CREEK, ELM AVENUE (2)       ")</f>
        <v xml:space="preserve">T DEER CREEK, ELM AVENUE (2)       </v>
      </c>
      <c r="M1020" t="str">
        <f>CLEAN("W BR BIG EAU PLEINE RVR BR B600159 ")</f>
        <v xml:space="preserve">W BR BIG EAU PLEINE RVR BR B600159 </v>
      </c>
      <c r="N1020">
        <v>0</v>
      </c>
      <c r="O1020" t="str">
        <f>CLEAN("9549-00-70")</f>
        <v>9549-00-70</v>
      </c>
      <c r="P1020" t="str">
        <f t="shared" si="312"/>
        <v xml:space="preserve">LOCAL BRIDGES                                                                                       </v>
      </c>
    </row>
    <row r="1021" spans="1:16" x14ac:dyDescent="0.25">
      <c r="A1021" t="str">
        <f t="shared" si="317"/>
        <v>10</v>
      </c>
      <c r="B1021" t="str">
        <f t="shared" si="313"/>
        <v>25</v>
      </c>
      <c r="C1021" s="1">
        <v>45608</v>
      </c>
      <c r="D1021" t="str">
        <f>CLEAN("9549-00-72")</f>
        <v>9549-00-72</v>
      </c>
      <c r="E1021" t="str">
        <f t="shared" si="310"/>
        <v xml:space="preserve">205  </v>
      </c>
      <c r="F1021" t="str">
        <f>CLEAN("$500,000 - $749,999      ")</f>
        <v xml:space="preserve">$500,000 - $749,999      </v>
      </c>
      <c r="G1021" t="str">
        <f t="shared" si="308"/>
        <v>LET</v>
      </c>
      <c r="H1021" t="str">
        <f t="shared" si="309"/>
        <v xml:space="preserve">LET CONSTRUCTION         </v>
      </c>
      <c r="I1021" t="str">
        <f t="shared" si="315"/>
        <v xml:space="preserve">CONSTRUCTION/BRIDGE REPLACEMENT    </v>
      </c>
      <c r="J1021" t="str">
        <f t="shared" si="311"/>
        <v>LOC STR</v>
      </c>
      <c r="K1021" t="str">
        <f t="shared" si="316"/>
        <v xml:space="preserve">TAYLOR                        </v>
      </c>
      <c r="L1021" t="str">
        <f>CLEAN("T DEER CREEK, ELM AVENUE (2)       ")</f>
        <v xml:space="preserve">T DEER CREEK, ELM AVENUE (2)       </v>
      </c>
      <c r="M1021" t="str">
        <f>CLEAN("W BR BIG EAU PLEINE RVR BR B600159 ")</f>
        <v xml:space="preserve">W BR BIG EAU PLEINE RVR BR B600159 </v>
      </c>
      <c r="N1021">
        <v>0</v>
      </c>
      <c r="O1021" t="str">
        <f>CLEAN("9549-00-71")</f>
        <v>9549-00-71</v>
      </c>
      <c r="P1021" t="str">
        <f t="shared" si="312"/>
        <v xml:space="preserve">LOCAL BRIDGES                                                                                       </v>
      </c>
    </row>
    <row r="1022" spans="1:16" x14ac:dyDescent="0.25">
      <c r="A1022" t="str">
        <f t="shared" si="317"/>
        <v>10</v>
      </c>
      <c r="B1022" t="str">
        <f t="shared" si="313"/>
        <v>25</v>
      </c>
      <c r="C1022" s="1">
        <v>45608</v>
      </c>
      <c r="D1022" t="str">
        <f>CLEAN("9549-00-72")</f>
        <v>9549-00-72</v>
      </c>
      <c r="E1022" t="str">
        <f t="shared" si="310"/>
        <v xml:space="preserve">205  </v>
      </c>
      <c r="F1022" t="str">
        <f>CLEAN("$500,000 - $749,999      ")</f>
        <v xml:space="preserve">$500,000 - $749,999      </v>
      </c>
      <c r="G1022" t="str">
        <f t="shared" si="308"/>
        <v>LET</v>
      </c>
      <c r="H1022" t="str">
        <f t="shared" si="309"/>
        <v xml:space="preserve">LET CONSTRUCTION         </v>
      </c>
      <c r="I1022" t="str">
        <f t="shared" si="315"/>
        <v xml:space="preserve">CONSTRUCTION/BRIDGE REPLACEMENT    </v>
      </c>
      <c r="J1022" t="str">
        <f t="shared" si="311"/>
        <v>LOC STR</v>
      </c>
      <c r="K1022" t="str">
        <f t="shared" si="316"/>
        <v xml:space="preserve">TAYLOR                        </v>
      </c>
      <c r="L1022" t="str">
        <f>CLEAN("T DEER CREEK, ELM AVENUE (2)       ")</f>
        <v xml:space="preserve">T DEER CREEK, ELM AVENUE (2)       </v>
      </c>
      <c r="M1022" t="str">
        <f>CLEAN("W BR BIG EAU PLEINE RVR BR B600159 ")</f>
        <v xml:space="preserve">W BR BIG EAU PLEINE RVR BR B600159 </v>
      </c>
      <c r="N1022">
        <v>0</v>
      </c>
      <c r="O1022" t="str">
        <f>CLEAN("9549-00-73")</f>
        <v>9549-00-73</v>
      </c>
      <c r="P1022" t="str">
        <f t="shared" si="312"/>
        <v xml:space="preserve">LOCAL BRIDGES                                                                                       </v>
      </c>
    </row>
    <row r="1023" spans="1:16" x14ac:dyDescent="0.25">
      <c r="A1023" t="str">
        <f t="shared" si="317"/>
        <v>10</v>
      </c>
      <c r="B1023" t="str">
        <f t="shared" si="313"/>
        <v>25</v>
      </c>
      <c r="C1023" s="1">
        <v>45608</v>
      </c>
      <c r="D1023" t="str">
        <f>CLEAN("9549-00-73")</f>
        <v>9549-00-73</v>
      </c>
      <c r="E1023" t="str">
        <f t="shared" si="310"/>
        <v xml:space="preserve">205  </v>
      </c>
      <c r="F1023" t="str">
        <f>CLEAN("$250,000 - $499,999      ")</f>
        <v xml:space="preserve">$250,000 - $499,999      </v>
      </c>
      <c r="G1023" t="str">
        <f t="shared" si="308"/>
        <v>LET</v>
      </c>
      <c r="H1023" t="str">
        <f t="shared" si="309"/>
        <v xml:space="preserve">LET CONSTRUCTION         </v>
      </c>
      <c r="I1023" t="str">
        <f t="shared" si="315"/>
        <v xml:space="preserve">CONSTRUCTION/BRIDGE REPLACEMENT    </v>
      </c>
      <c r="J1023" t="str">
        <f t="shared" si="311"/>
        <v>LOC STR</v>
      </c>
      <c r="K1023" t="str">
        <f t="shared" si="316"/>
        <v xml:space="preserve">TAYLOR                        </v>
      </c>
      <c r="L1023" t="str">
        <f>CLEAN("T DEER CREEK, ELM AVENUE (3)       ")</f>
        <v xml:space="preserve">T DEER CREEK, ELM AVENUE (3)       </v>
      </c>
      <c r="M1023" t="str">
        <f>CLEAN("DEER CREEK BRIDGE B-60-0160        ")</f>
        <v xml:space="preserve">DEER CREEK BRIDGE B-60-0160        </v>
      </c>
      <c r="N1023">
        <v>0</v>
      </c>
      <c r="O1023" t="str">
        <f>CLEAN("9549-00-70")</f>
        <v>9549-00-70</v>
      </c>
      <c r="P1023" t="str">
        <f t="shared" si="312"/>
        <v xml:space="preserve">LOCAL BRIDGES                                                                                       </v>
      </c>
    </row>
    <row r="1024" spans="1:16" x14ac:dyDescent="0.25">
      <c r="A1024" t="str">
        <f t="shared" si="317"/>
        <v>10</v>
      </c>
      <c r="B1024" t="str">
        <f t="shared" si="313"/>
        <v>25</v>
      </c>
      <c r="C1024" s="1">
        <v>45608</v>
      </c>
      <c r="D1024" t="str">
        <f>CLEAN("9549-00-73")</f>
        <v>9549-00-73</v>
      </c>
      <c r="E1024" t="str">
        <f t="shared" si="310"/>
        <v xml:space="preserve">205  </v>
      </c>
      <c r="F1024" t="str">
        <f>CLEAN("$250,000 - $499,999      ")</f>
        <v xml:space="preserve">$250,000 - $499,999      </v>
      </c>
      <c r="G1024" t="str">
        <f t="shared" si="308"/>
        <v>LET</v>
      </c>
      <c r="H1024" t="str">
        <f t="shared" si="309"/>
        <v xml:space="preserve">LET CONSTRUCTION         </v>
      </c>
      <c r="I1024" t="str">
        <f t="shared" si="315"/>
        <v xml:space="preserve">CONSTRUCTION/BRIDGE REPLACEMENT    </v>
      </c>
      <c r="J1024" t="str">
        <f t="shared" si="311"/>
        <v>LOC STR</v>
      </c>
      <c r="K1024" t="str">
        <f t="shared" si="316"/>
        <v xml:space="preserve">TAYLOR                        </v>
      </c>
      <c r="L1024" t="str">
        <f>CLEAN("T DEER CREEK, ELM AVENUE (3)       ")</f>
        <v xml:space="preserve">T DEER CREEK, ELM AVENUE (3)       </v>
      </c>
      <c r="M1024" t="str">
        <f>CLEAN("DEER CREEK BRIDGE B-60-0160        ")</f>
        <v xml:space="preserve">DEER CREEK BRIDGE B-60-0160        </v>
      </c>
      <c r="N1024">
        <v>0</v>
      </c>
      <c r="O1024" t="str">
        <f>CLEAN("9549-00-71")</f>
        <v>9549-00-71</v>
      </c>
      <c r="P1024" t="str">
        <f t="shared" si="312"/>
        <v xml:space="preserve">LOCAL BRIDGES                                                                                       </v>
      </c>
    </row>
    <row r="1025" spans="1:16" x14ac:dyDescent="0.25">
      <c r="A1025" t="str">
        <f t="shared" si="317"/>
        <v>10</v>
      </c>
      <c r="B1025" t="str">
        <f t="shared" si="313"/>
        <v>25</v>
      </c>
      <c r="C1025" s="1">
        <v>45608</v>
      </c>
      <c r="D1025" t="str">
        <f>CLEAN("9549-00-73")</f>
        <v>9549-00-73</v>
      </c>
      <c r="E1025" t="str">
        <f t="shared" si="310"/>
        <v xml:space="preserve">205  </v>
      </c>
      <c r="F1025" t="str">
        <f>CLEAN("$250,000 - $499,999      ")</f>
        <v xml:space="preserve">$250,000 - $499,999      </v>
      </c>
      <c r="G1025" t="str">
        <f t="shared" si="308"/>
        <v>LET</v>
      </c>
      <c r="H1025" t="str">
        <f t="shared" si="309"/>
        <v xml:space="preserve">LET CONSTRUCTION         </v>
      </c>
      <c r="I1025" t="str">
        <f t="shared" si="315"/>
        <v xml:space="preserve">CONSTRUCTION/BRIDGE REPLACEMENT    </v>
      </c>
      <c r="J1025" t="str">
        <f t="shared" si="311"/>
        <v>LOC STR</v>
      </c>
      <c r="K1025" t="str">
        <f t="shared" si="316"/>
        <v xml:space="preserve">TAYLOR                        </v>
      </c>
      <c r="L1025" t="str">
        <f>CLEAN("T DEER CREEK, ELM AVENUE (3)       ")</f>
        <v xml:space="preserve">T DEER CREEK, ELM AVENUE (3)       </v>
      </c>
      <c r="M1025" t="str">
        <f>CLEAN("DEER CREEK BRIDGE B-60-0160        ")</f>
        <v xml:space="preserve">DEER CREEK BRIDGE B-60-0160        </v>
      </c>
      <c r="N1025">
        <v>0</v>
      </c>
      <c r="O1025" t="str">
        <f>CLEAN("9549-00-72")</f>
        <v>9549-00-72</v>
      </c>
      <c r="P1025" t="str">
        <f t="shared" si="312"/>
        <v xml:space="preserve">LOCAL BRIDGES                                                                                       </v>
      </c>
    </row>
    <row r="1026" spans="1:16" x14ac:dyDescent="0.25">
      <c r="A1026" t="str">
        <f t="shared" si="317"/>
        <v>10</v>
      </c>
      <c r="B1026" t="str">
        <f t="shared" ref="B1026:B1033" si="318">CLEAN("24")</f>
        <v>24</v>
      </c>
      <c r="C1026" s="1">
        <v>45335</v>
      </c>
      <c r="D1026" t="str">
        <f>CLEAN("9815-00-70")</f>
        <v>9815-00-70</v>
      </c>
      <c r="E1026" t="str">
        <f t="shared" si="310"/>
        <v xml:space="preserve">205  </v>
      </c>
      <c r="F1026" t="str">
        <f>CLEAN("$250,000 - $499,999      ")</f>
        <v xml:space="preserve">$250,000 - $499,999      </v>
      </c>
      <c r="G1026" t="str">
        <f t="shared" si="308"/>
        <v>LET</v>
      </c>
      <c r="H1026" t="str">
        <f t="shared" si="309"/>
        <v xml:space="preserve">LET CONSTRUCTION         </v>
      </c>
      <c r="I1026" t="str">
        <f>CLEAN("CONST/REPLACEMENT                  ")</f>
        <v xml:space="preserve">CONST/REPLACEMENT                  </v>
      </c>
      <c r="J1026" t="str">
        <f t="shared" si="311"/>
        <v>LOC STR</v>
      </c>
      <c r="K1026" t="str">
        <f>CLEAN("FOREST                        ")</f>
        <v xml:space="preserve">FOREST                        </v>
      </c>
      <c r="L1026" t="str">
        <f>CLEAN("T HILES, WEST PINE LAKE ROAD       ")</f>
        <v xml:space="preserve">T HILES, WEST PINE LAKE ROAD       </v>
      </c>
      <c r="M1026" t="str">
        <f>CLEAN("WOLF RIVER BRIDGE B-21-0032        ")</f>
        <v xml:space="preserve">WOLF RIVER BRIDGE B-21-0032        </v>
      </c>
      <c r="N1026">
        <v>0.02</v>
      </c>
      <c r="O1026" t="str">
        <f>CLEAN("          ")</f>
        <v xml:space="preserve">          </v>
      </c>
      <c r="P1026" t="str">
        <f t="shared" si="312"/>
        <v xml:space="preserve">LOCAL BRIDGES                                                                                       </v>
      </c>
    </row>
    <row r="1027" spans="1:16" x14ac:dyDescent="0.25">
      <c r="A1027" t="str">
        <f t="shared" si="317"/>
        <v>10</v>
      </c>
      <c r="B1027" t="str">
        <f t="shared" si="318"/>
        <v>24</v>
      </c>
      <c r="C1027" s="1">
        <v>45335</v>
      </c>
      <c r="D1027" t="str">
        <f>CLEAN("9835-00-71")</f>
        <v>9835-00-71</v>
      </c>
      <c r="E1027" t="str">
        <f t="shared" si="310"/>
        <v xml:space="preserve">205  </v>
      </c>
      <c r="F1027" t="str">
        <f>CLEAN("$1,000,000 - $1,999,999  ")</f>
        <v xml:space="preserve">$1,000,000 - $1,999,999  </v>
      </c>
      <c r="G1027" t="str">
        <f t="shared" si="308"/>
        <v>LET</v>
      </c>
      <c r="H1027" t="str">
        <f t="shared" si="309"/>
        <v xml:space="preserve">LET CONSTRUCTION         </v>
      </c>
      <c r="I1027" t="str">
        <f>CLEAN("CONST/REPLACEMENT                  ")</f>
        <v xml:space="preserve">CONST/REPLACEMENT                  </v>
      </c>
      <c r="J1027" t="str">
        <f t="shared" si="311"/>
        <v>LOC STR</v>
      </c>
      <c r="K1027" t="str">
        <f>CLEAN("LANGLADE                      ")</f>
        <v xml:space="preserve">LANGLADE                      </v>
      </c>
      <c r="L1027" t="str">
        <f>CLEAN("C ANTIGO, 4TH AVENUE               ")</f>
        <v xml:space="preserve">C ANTIGO, 4TH AVENUE               </v>
      </c>
      <c r="M1027" t="str">
        <f>CLEAN("SPRINGBROOK CREEK BRIDGE B-34-0062 ")</f>
        <v xml:space="preserve">SPRINGBROOK CREEK BRIDGE B-34-0062 </v>
      </c>
      <c r="N1027">
        <v>0.05</v>
      </c>
      <c r="O1027" t="str">
        <f>CLEAN("          ")</f>
        <v xml:space="preserve">          </v>
      </c>
      <c r="P1027" t="str">
        <f t="shared" si="312"/>
        <v xml:space="preserve">LOCAL BRIDGES                                                                                       </v>
      </c>
    </row>
    <row r="1028" spans="1:16" x14ac:dyDescent="0.25">
      <c r="A1028" t="str">
        <f t="shared" si="317"/>
        <v>10</v>
      </c>
      <c r="B1028" t="str">
        <f t="shared" si="318"/>
        <v>24</v>
      </c>
      <c r="C1028" s="1">
        <v>45407</v>
      </c>
      <c r="D1028" t="str">
        <f>CLEAN("9835-02-71")</f>
        <v>9835-02-71</v>
      </c>
      <c r="E1028" t="str">
        <f>CLEAN("290  ")</f>
        <v xml:space="preserve">290  </v>
      </c>
      <c r="F1028" t="str">
        <f>CLEAN("$500,000 - $749,999      ")</f>
        <v xml:space="preserve">$500,000 - $749,999      </v>
      </c>
      <c r="G1028" t="str">
        <f>CLEAN("LLC")</f>
        <v>LLC</v>
      </c>
      <c r="H1028" t="str">
        <f>CLEAN("NONLET CONSTR/REAL ESTATE")</f>
        <v>NONLET CONSTR/REAL ESTATE</v>
      </c>
      <c r="I1028" t="str">
        <f>CLEAN("CONST/MISC                         ")</f>
        <v xml:space="preserve">CONST/MISC                         </v>
      </c>
      <c r="J1028" t="str">
        <f>CLEAN("NON HWY")</f>
        <v>NON HWY</v>
      </c>
      <c r="K1028" t="str">
        <f>CLEAN("LANGLADE                      ")</f>
        <v xml:space="preserve">LANGLADE                      </v>
      </c>
      <c r="L1028" t="str">
        <f>CLEAN("SPRINGBROOK BIKE/PEDESTRIAN TRAIL  ")</f>
        <v xml:space="preserve">SPRINGBROOK BIKE/PEDESTRIAN TRAIL  </v>
      </c>
      <c r="M1028" t="str">
        <f>CLEAN("CITY OF ANTIGO                     ")</f>
        <v xml:space="preserve">CITY OF ANTIGO                     </v>
      </c>
      <c r="N1028">
        <v>0</v>
      </c>
      <c r="O1028" t="str">
        <f>CLEAN("          ")</f>
        <v xml:space="preserve">          </v>
      </c>
      <c r="P1028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1029" spans="1:16" x14ac:dyDescent="0.25">
      <c r="A1029" t="str">
        <f t="shared" si="317"/>
        <v>10</v>
      </c>
      <c r="B1029" t="str">
        <f t="shared" si="318"/>
        <v>24</v>
      </c>
      <c r="C1029" s="1">
        <v>45608</v>
      </c>
      <c r="D1029" t="str">
        <f>CLEAN("9835-04-70")</f>
        <v>9835-04-70</v>
      </c>
      <c r="E1029" t="str">
        <f>CLEAN("206  ")</f>
        <v xml:space="preserve">206  </v>
      </c>
      <c r="F1029" t="str">
        <f>CLEAN("$250,000 - $499,999      ")</f>
        <v xml:space="preserve">$250,000 - $499,999      </v>
      </c>
      <c r="G1029" t="str">
        <f>CLEAN("LET")</f>
        <v>LET</v>
      </c>
      <c r="H1029" t="str">
        <f>CLEAN("LET CONSTRUCTION         ")</f>
        <v xml:space="preserve">LET CONSTRUCTION         </v>
      </c>
      <c r="I1029" t="str">
        <f>CLEAN("CONST/PVRPLA                       ")</f>
        <v xml:space="preserve">CONST/PVRPLA                       </v>
      </c>
      <c r="J1029" t="str">
        <f>CLEAN("LOC STR")</f>
        <v>LOC STR</v>
      </c>
      <c r="K1029" t="str">
        <f>CLEAN("LANGLADE                      ")</f>
        <v xml:space="preserve">LANGLADE                      </v>
      </c>
      <c r="L1029" t="str">
        <f>CLEAN("C ANTIGO, CLERMONT STREET          ")</f>
        <v xml:space="preserve">C ANTIGO, CLERMONT STREET          </v>
      </c>
      <c r="M1029" t="str">
        <f>CLEAN("10TH AVENUE TO 7TH AVENUE          ")</f>
        <v xml:space="preserve">10TH AVENUE TO 7TH AVENUE          </v>
      </c>
      <c r="N1029">
        <v>0.36</v>
      </c>
      <c r="O1029" t="str">
        <f>CLEAN("9835-05-70")</f>
        <v>9835-05-70</v>
      </c>
      <c r="P1029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1030" spans="1:16" x14ac:dyDescent="0.25">
      <c r="A1030" t="str">
        <f t="shared" si="317"/>
        <v>10</v>
      </c>
      <c r="B1030" t="str">
        <f t="shared" si="318"/>
        <v>24</v>
      </c>
      <c r="C1030" s="1">
        <v>45608</v>
      </c>
      <c r="D1030" t="str">
        <f>CLEAN("9835-05-70")</f>
        <v>9835-05-70</v>
      </c>
      <c r="E1030" t="str">
        <f>CLEAN("206  ")</f>
        <v xml:space="preserve">206  </v>
      </c>
      <c r="F1030" t="str">
        <f>CLEAN("$250,000 - $499,999      ")</f>
        <v xml:space="preserve">$250,000 - $499,999      </v>
      </c>
      <c r="G1030" t="str">
        <f>CLEAN("LET")</f>
        <v>LET</v>
      </c>
      <c r="H1030" t="str">
        <f>CLEAN("LET CONSTRUCTION         ")</f>
        <v xml:space="preserve">LET CONSTRUCTION         </v>
      </c>
      <c r="I1030" t="str">
        <f>CLEAN("CONST/PVRPLA                       ")</f>
        <v xml:space="preserve">CONST/PVRPLA                       </v>
      </c>
      <c r="J1030" t="str">
        <f>CLEAN("LOC STR")</f>
        <v>LOC STR</v>
      </c>
      <c r="K1030" t="str">
        <f>CLEAN("LANGLADE                      ")</f>
        <v xml:space="preserve">LANGLADE                      </v>
      </c>
      <c r="L1030" t="str">
        <f>CLEAN("C ANTIGO, 7TH AVENUE               ")</f>
        <v xml:space="preserve">C ANTIGO, 7TH AVENUE               </v>
      </c>
      <c r="M1030" t="str">
        <f>CLEAN("DORR STREET TO CLERMONT STREET     ")</f>
        <v xml:space="preserve">DORR STREET TO CLERMONT STREET     </v>
      </c>
      <c r="N1030">
        <v>0.19</v>
      </c>
      <c r="O1030" t="str">
        <f>CLEAN("9835-04-70")</f>
        <v>9835-04-70</v>
      </c>
      <c r="P1030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1031" spans="1:16" x14ac:dyDescent="0.25">
      <c r="A1031" t="str">
        <f t="shared" si="317"/>
        <v>10</v>
      </c>
      <c r="B1031" t="str">
        <f t="shared" si="318"/>
        <v>24</v>
      </c>
      <c r="C1031" s="1">
        <v>45608</v>
      </c>
      <c r="D1031" t="str">
        <f>CLEAN("9846-00-70")</f>
        <v>9846-00-70</v>
      </c>
      <c r="E1031" t="str">
        <f>CLEAN("205  ")</f>
        <v xml:space="preserve">205  </v>
      </c>
      <c r="F1031" t="str">
        <f>CLEAN("$250,000 - $499,999      ")</f>
        <v xml:space="preserve">$250,000 - $499,999      </v>
      </c>
      <c r="G1031" t="str">
        <f>CLEAN("LET")</f>
        <v>LET</v>
      </c>
      <c r="H1031" t="str">
        <f>CLEAN("LET CONSTRUCTION         ")</f>
        <v xml:space="preserve">LET CONSTRUCTION         </v>
      </c>
      <c r="I1031" t="str">
        <f>CLEAN("CONST/REPLACEMENT                  ")</f>
        <v xml:space="preserve">CONST/REPLACEMENT                  </v>
      </c>
      <c r="J1031" t="str">
        <f>CLEAN("LOC STR")</f>
        <v>LOC STR</v>
      </c>
      <c r="K1031" t="str">
        <f>CLEAN("LANGLADE                      ")</f>
        <v xml:space="preserve">LANGLADE                      </v>
      </c>
      <c r="L1031" t="str">
        <f>CLEAN("T SUMMIT, COUNTY LINE ROAD         ")</f>
        <v xml:space="preserve">T SUMMIT, COUNTY LINE ROAD         </v>
      </c>
      <c r="M1031" t="str">
        <f>CLEAN("BIG HAY MEADOW CREEK BRIDGE P340918")</f>
        <v>BIG HAY MEADOW CREEK BRIDGE P340918</v>
      </c>
      <c r="N1031">
        <v>0</v>
      </c>
      <c r="O1031" t="str">
        <f>CLEAN("          ")</f>
        <v xml:space="preserve">          </v>
      </c>
      <c r="P103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2" spans="1:16" x14ac:dyDescent="0.25">
      <c r="A1032" t="str">
        <f t="shared" si="317"/>
        <v>10</v>
      </c>
      <c r="B1032" t="str">
        <f t="shared" si="318"/>
        <v>24</v>
      </c>
      <c r="C1032" s="1">
        <v>45560</v>
      </c>
      <c r="D1032" t="str">
        <f>CLEAN("9874-00-80")</f>
        <v>9874-00-80</v>
      </c>
      <c r="E1032" t="str">
        <f>CLEAN("206  ")</f>
        <v xml:space="preserve">206  </v>
      </c>
      <c r="F1032" t="str">
        <f>CLEAN("$1,000,000 - $1,999,999  ")</f>
        <v xml:space="preserve">$1,000,000 - $1,999,999  </v>
      </c>
      <c r="G1032" t="str">
        <f>CLEAN("LLC")</f>
        <v>LLC</v>
      </c>
      <c r="H1032" t="str">
        <f>CLEAN("NONLET CONSTR/REAL ESTATE")</f>
        <v>NONLET CONSTR/REAL ESTATE</v>
      </c>
      <c r="I1032" t="str">
        <f>CLEAN("CONST/CRP/MISC                     ")</f>
        <v xml:space="preserve">CONST/CRP/MISC                     </v>
      </c>
      <c r="J1032" t="str">
        <f>CLEAN("LOC STR")</f>
        <v>LOC STR</v>
      </c>
      <c r="K1032" t="str">
        <f>CLEAN("ONEIDA                        ")</f>
        <v xml:space="preserve">ONEIDA                        </v>
      </c>
      <c r="L1032" t="str">
        <f>CLEAN("MINOCQUA LED STREETLIGHT CONVERSION")</f>
        <v>MINOCQUA LED STREETLIGHT CONVERSION</v>
      </c>
      <c r="M1032" t="str">
        <f>CLEAN("USH 51 VARIOUS LOCATIONS           ")</f>
        <v xml:space="preserve">USH 51 VARIOUS LOCATIONS           </v>
      </c>
      <c r="N1032">
        <v>0</v>
      </c>
      <c r="O1032" t="str">
        <f>CLEAN("          ")</f>
        <v xml:space="preserve">          </v>
      </c>
      <c r="P1032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1033" spans="1:16" x14ac:dyDescent="0.25">
      <c r="A1033" t="str">
        <f t="shared" si="317"/>
        <v>10</v>
      </c>
      <c r="B1033" t="str">
        <f t="shared" si="318"/>
        <v>24</v>
      </c>
      <c r="C1033" s="1">
        <v>45285</v>
      </c>
      <c r="D1033" t="str">
        <f>CLEAN("9901-00-80")</f>
        <v>9901-00-80</v>
      </c>
      <c r="E1033" t="str">
        <f>CLEAN("206  ")</f>
        <v xml:space="preserve">206  </v>
      </c>
      <c r="F1033" t="str">
        <f>CLEAN("$0 - $99,999             ")</f>
        <v xml:space="preserve">$0 - $99,999             </v>
      </c>
      <c r="G1033" t="str">
        <f>CLEAN("MIS")</f>
        <v>MIS</v>
      </c>
      <c r="H1033" t="str">
        <f>CLEAN("NONLET CONSTR/REAL ESTATE")</f>
        <v>NONLET CONSTR/REAL ESTATE</v>
      </c>
      <c r="I1033" t="str">
        <f>CLEAN("CONST/CRP/MISC                     ")</f>
        <v xml:space="preserve">CONST/CRP/MISC                     </v>
      </c>
      <c r="J1033" t="str">
        <f>CLEAN("LOC STR")</f>
        <v>LOC STR</v>
      </c>
      <c r="K1033" t="str">
        <f>CLEAN("VILAS                         ")</f>
        <v xml:space="preserve">VILAS                         </v>
      </c>
      <c r="L1033" t="str">
        <f>CLEAN("SOLAR LED RADAR SPEED SIGN         ")</f>
        <v xml:space="preserve">SOLAR LED RADAR SPEED SIGN         </v>
      </c>
      <c r="M1033" t="str">
        <f>CLEAN("NORTHLAND PINES SCHOOL DISTRICT    ")</f>
        <v xml:space="preserve">NORTHLAND PINES SCHOOL DISTRICT    </v>
      </c>
      <c r="N1033">
        <v>0</v>
      </c>
      <c r="O1033" t="str">
        <f>CLEAN("          ")</f>
        <v xml:space="preserve">          </v>
      </c>
      <c r="P1033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1034" spans="1:16" x14ac:dyDescent="0.25">
      <c r="A1034" t="str">
        <f t="shared" si="317"/>
        <v>10</v>
      </c>
      <c r="B1034" t="str">
        <f>CLEAN("25")</f>
        <v>25</v>
      </c>
      <c r="C1034" s="1">
        <v>45316</v>
      </c>
      <c r="D1034" t="str">
        <f>CLEAN("9925-00-20")</f>
        <v>9925-00-20</v>
      </c>
      <c r="E1034" t="str">
        <f t="shared" ref="E1034:E1039" si="319">CLEAN("303  ")</f>
        <v xml:space="preserve">303  </v>
      </c>
      <c r="F1034" t="str">
        <f>CLEAN("$0 - $99,999             ")</f>
        <v xml:space="preserve">$0 - $99,999             </v>
      </c>
      <c r="G1034" t="str">
        <f>CLEAN("R/E")</f>
        <v>R/E</v>
      </c>
      <c r="H1034" t="str">
        <f>CLEAN("NONLET CONSTR/REAL ESTATE")</f>
        <v>NONLET CONSTR/REAL ESTATE</v>
      </c>
      <c r="I1034" t="str">
        <f>CLEAN("REAL ESTATE ACQUISITION            ")</f>
        <v xml:space="preserve">REAL ESTATE ACQUISITION            </v>
      </c>
      <c r="J1034" t="str">
        <f>CLEAN("STH 169")</f>
        <v>STH 169</v>
      </c>
      <c r="K1034" t="str">
        <f>CLEAN("ASHLAND                       ")</f>
        <v xml:space="preserve">ASHLAND                       </v>
      </c>
      <c r="L1034" t="str">
        <f>CLEAN("MELLEN - USH 2                     ")</f>
        <v xml:space="preserve">MELLEN - USH 2                     </v>
      </c>
      <c r="M1034" t="str">
        <f>CLEAN("STH 13 TO ASHLAND/IRON CO LN       ")</f>
        <v xml:space="preserve">STH 13 TO ASHLAND/IRON CO LN       </v>
      </c>
      <c r="N1034">
        <v>10.29</v>
      </c>
      <c r="O1034" t="str">
        <f>CLEAN("          ")</f>
        <v xml:space="preserve">          </v>
      </c>
      <c r="P103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35" spans="1:16" x14ac:dyDescent="0.25">
      <c r="A1035" t="str">
        <f t="shared" si="317"/>
        <v>10</v>
      </c>
      <c r="B1035" t="str">
        <f>CLEAN("25")</f>
        <v>25</v>
      </c>
      <c r="C1035" s="1">
        <v>45498</v>
      </c>
      <c r="D1035" t="str">
        <f>CLEAN("9925-00-50")</f>
        <v>9925-00-50</v>
      </c>
      <c r="E1035" t="str">
        <f t="shared" si="319"/>
        <v xml:space="preserve">303  </v>
      </c>
      <c r="F1035" t="str">
        <f>CLEAN("$0 - $99,999             ")</f>
        <v xml:space="preserve">$0 - $99,999             </v>
      </c>
      <c r="G1035" t="str">
        <f>CLEAN("R/R")</f>
        <v>R/R</v>
      </c>
      <c r="H1035" t="str">
        <f>CLEAN("NONLET CONSTR/REAL ESTATE")</f>
        <v>NONLET CONSTR/REAL ESTATE</v>
      </c>
      <c r="I1035" t="str">
        <f>CLEAN("RR OPS/CROSSING SURFACE            ")</f>
        <v xml:space="preserve">RR OPS/CROSSING SURFACE            </v>
      </c>
      <c r="J1035" t="str">
        <f>CLEAN("STH 169")</f>
        <v>STH 169</v>
      </c>
      <c r="K1035" t="str">
        <f>CLEAN("ASHLAND                       ")</f>
        <v xml:space="preserve">ASHLAND                       </v>
      </c>
      <c r="L1035" t="str">
        <f>CLEAN("MELLEN - USH 2                     ")</f>
        <v xml:space="preserve">MELLEN - USH 2                     </v>
      </c>
      <c r="M1035" t="str">
        <f>CLEAN("WCL RR X-ING 699395G               ")</f>
        <v xml:space="preserve">WCL RR X-ING 699395G               </v>
      </c>
      <c r="N1035">
        <v>0</v>
      </c>
      <c r="O1035" t="str">
        <f>CLEAN("          ")</f>
        <v xml:space="preserve">          </v>
      </c>
      <c r="P10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36" spans="1:16" x14ac:dyDescent="0.25">
      <c r="A1036" t="str">
        <f t="shared" si="317"/>
        <v>10</v>
      </c>
      <c r="B1036" t="str">
        <f>CLEAN("25")</f>
        <v>25</v>
      </c>
      <c r="C1036" s="1">
        <v>45608</v>
      </c>
      <c r="D1036" t="str">
        <f>CLEAN("9925-00-70")</f>
        <v>9925-00-70</v>
      </c>
      <c r="E1036" t="str">
        <f t="shared" si="319"/>
        <v xml:space="preserve">303  </v>
      </c>
      <c r="F1036" t="str">
        <f>CLEAN("$7,000,000 - $7,999,999  ")</f>
        <v xml:space="preserve">$7,000,000 - $7,999,999  </v>
      </c>
      <c r="G1036" t="str">
        <f t="shared" ref="G1036:G1041" si="320">CLEAN("LET")</f>
        <v>LET</v>
      </c>
      <c r="H1036" t="str">
        <f t="shared" ref="H1036:H1041" si="321">CLEAN("LET CONSTRUCTION         ")</f>
        <v xml:space="preserve">LET CONSTRUCTION         </v>
      </c>
      <c r="I1036" t="str">
        <f>CLEAN("CONSTRUCTION/PVRPLA                ")</f>
        <v xml:space="preserve">CONSTRUCTION/PVRPLA                </v>
      </c>
      <c r="J1036" t="str">
        <f>CLEAN("STH 169")</f>
        <v>STH 169</v>
      </c>
      <c r="K1036" t="str">
        <f>CLEAN("ASHLAND                       ")</f>
        <v xml:space="preserve">ASHLAND                       </v>
      </c>
      <c r="L1036" t="str">
        <f>CLEAN("MELLEN - USH 2                     ")</f>
        <v xml:space="preserve">MELLEN - USH 2                     </v>
      </c>
      <c r="M1036" t="str">
        <f>CLEAN("STH 13 TO ASHLAND/IRON CO LN       ")</f>
        <v xml:space="preserve">STH 13 TO ASHLAND/IRON CO LN       </v>
      </c>
      <c r="N1036">
        <v>10.29</v>
      </c>
      <c r="O1036" t="str">
        <f>CLEAN("9925-00-71")</f>
        <v>9925-00-71</v>
      </c>
      <c r="P10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37" spans="1:16" x14ac:dyDescent="0.25">
      <c r="A1037" t="str">
        <f t="shared" si="317"/>
        <v>10</v>
      </c>
      <c r="B1037" t="str">
        <f>CLEAN("25")</f>
        <v>25</v>
      </c>
      <c r="C1037" s="1">
        <v>45608</v>
      </c>
      <c r="D1037" t="str">
        <f>CLEAN("9925-00-71")</f>
        <v>9925-00-71</v>
      </c>
      <c r="E1037" t="str">
        <f t="shared" si="319"/>
        <v xml:space="preserve">303  </v>
      </c>
      <c r="F1037" t="str">
        <f>CLEAN("$750,000 - $999,999      ")</f>
        <v xml:space="preserve">$750,000 - $999,999      </v>
      </c>
      <c r="G1037" t="str">
        <f t="shared" si="320"/>
        <v>LET</v>
      </c>
      <c r="H1037" t="str">
        <f t="shared" si="321"/>
        <v xml:space="preserve">LET CONSTRUCTION         </v>
      </c>
      <c r="I1037" t="str">
        <f>CLEAN("CONSTRUCTION/BRRHB                 ")</f>
        <v xml:space="preserve">CONSTRUCTION/BRRHB                 </v>
      </c>
      <c r="J1037" t="str">
        <f>CLEAN("STH 169")</f>
        <v>STH 169</v>
      </c>
      <c r="K1037" t="str">
        <f>CLEAN("ASHLAND                       ")</f>
        <v xml:space="preserve">ASHLAND                       </v>
      </c>
      <c r="L1037" t="str">
        <f>CLEAN("MELLEN - USH 2                     ")</f>
        <v xml:space="preserve">MELLEN - USH 2                     </v>
      </c>
      <c r="M1037" t="str">
        <f>CLEAN("BAD RIVER BRIDGE B-02-0026         ")</f>
        <v xml:space="preserve">BAD RIVER BRIDGE B-02-0026         </v>
      </c>
      <c r="N1037">
        <v>0</v>
      </c>
      <c r="O1037" t="str">
        <f>CLEAN("9925-00-70")</f>
        <v>9925-00-70</v>
      </c>
      <c r="P1037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38" spans="1:16" x14ac:dyDescent="0.25">
      <c r="A1038" t="str">
        <f t="shared" si="317"/>
        <v>10</v>
      </c>
      <c r="B1038" t="str">
        <f>CLEAN("24")</f>
        <v>24</v>
      </c>
      <c r="C1038" s="1">
        <v>45636</v>
      </c>
      <c r="D1038" t="str">
        <f>CLEAN("9931-02-72")</f>
        <v>9931-02-72</v>
      </c>
      <c r="E1038" t="str">
        <f t="shared" si="319"/>
        <v xml:space="preserve">303  </v>
      </c>
      <c r="F1038" t="str">
        <f>CLEAN("$1,000,000 - $1,999,999  ")</f>
        <v xml:space="preserve">$1,000,000 - $1,999,999  </v>
      </c>
      <c r="G1038" t="str">
        <f t="shared" si="320"/>
        <v>LET</v>
      </c>
      <c r="H1038" t="str">
        <f t="shared" si="321"/>
        <v xml:space="preserve">LET CONSTRUCTION         </v>
      </c>
      <c r="I1038" t="str">
        <f>CLEAN("CONST/RESURFACE                    ")</f>
        <v xml:space="preserve">CONST/RESURFACE                    </v>
      </c>
      <c r="J1038" t="str">
        <f>CLEAN("STH 013")</f>
        <v>STH 013</v>
      </c>
      <c r="K1038" t="str">
        <f>CLEAN("PRICE                         ")</f>
        <v xml:space="preserve">PRICE                         </v>
      </c>
      <c r="L1038" t="str">
        <f>CLEAN("CITY OF PARK FALLS                 ")</f>
        <v xml:space="preserve">CITY OF PARK FALLS                 </v>
      </c>
      <c r="M1038" t="str">
        <f>CLEAN("N FORK FLAMBEAU RVR BRDG - 5TH ST N")</f>
        <v>N FORK FLAMBEAU RVR BRDG - 5TH ST N</v>
      </c>
      <c r="N1038">
        <v>1.92</v>
      </c>
      <c r="O1038" t="str">
        <f>CLEAN("          ")</f>
        <v xml:space="preserve">          </v>
      </c>
      <c r="P1038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1039" spans="1:16" x14ac:dyDescent="0.25">
      <c r="A1039" t="str">
        <f t="shared" si="317"/>
        <v>10</v>
      </c>
      <c r="B1039" t="str">
        <f>CLEAN("24")</f>
        <v>24</v>
      </c>
      <c r="C1039" s="1">
        <v>45636</v>
      </c>
      <c r="D1039" t="str">
        <f>CLEAN("9931-02-72")</f>
        <v>9931-02-72</v>
      </c>
      <c r="E1039" t="str">
        <f t="shared" si="319"/>
        <v xml:space="preserve">303  </v>
      </c>
      <c r="F1039" t="str">
        <f>CLEAN("$1,000,000 - $1,999,999  ")</f>
        <v xml:space="preserve">$1,000,000 - $1,999,999  </v>
      </c>
      <c r="G1039" t="str">
        <f t="shared" si="320"/>
        <v>LET</v>
      </c>
      <c r="H1039" t="str">
        <f t="shared" si="321"/>
        <v xml:space="preserve">LET CONSTRUCTION         </v>
      </c>
      <c r="I1039" t="str">
        <f>CLEAN("CONST/RESURFACE                    ")</f>
        <v xml:space="preserve">CONST/RESURFACE                    </v>
      </c>
      <c r="J1039" t="str">
        <f>CLEAN("STH 013")</f>
        <v>STH 013</v>
      </c>
      <c r="K1039" t="str">
        <f>CLEAN("PRICE                         ")</f>
        <v xml:space="preserve">PRICE                         </v>
      </c>
      <c r="L1039" t="str">
        <f>CLEAN("CITY OF PARK FALLS                 ")</f>
        <v xml:space="preserve">CITY OF PARK FALLS                 </v>
      </c>
      <c r="M1039" t="str">
        <f>CLEAN("N FORK FLAMBEAU RVR BRDG - 5TH ST N")</f>
        <v>N FORK FLAMBEAU RVR BRDG - 5TH ST N</v>
      </c>
      <c r="N1039">
        <v>1.92</v>
      </c>
      <c r="O1039" t="str">
        <f>CLEAN("          ")</f>
        <v xml:space="preserve">          </v>
      </c>
      <c r="P10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40" spans="1:16" x14ac:dyDescent="0.25">
      <c r="A1040" t="str">
        <f t="shared" si="317"/>
        <v>10</v>
      </c>
      <c r="B1040" t="str">
        <f>CLEAN("25")</f>
        <v>25</v>
      </c>
      <c r="C1040" s="1">
        <v>45426</v>
      </c>
      <c r="D1040" t="str">
        <f>CLEAN("9954-00-72")</f>
        <v>9954-00-72</v>
      </c>
      <c r="E1040" t="str">
        <f>CLEAN("206  ")</f>
        <v xml:space="preserve">206  </v>
      </c>
      <c r="F1040" t="str">
        <f>CLEAN("$1,000,000 - $1,999,999  ")</f>
        <v xml:space="preserve">$1,000,000 - $1,999,999  </v>
      </c>
      <c r="G1040" t="str">
        <f t="shared" si="320"/>
        <v>LET</v>
      </c>
      <c r="H1040" t="str">
        <f t="shared" si="321"/>
        <v xml:space="preserve">LET CONSTRUCTION         </v>
      </c>
      <c r="I1040" t="str">
        <f>CLEAN("CONSTRUCTION/PVRPLA                ")</f>
        <v xml:space="preserve">CONSTRUCTION/PVRPLA                </v>
      </c>
      <c r="J1040" t="str">
        <f>CLEAN("LOC STR")</f>
        <v>LOC STR</v>
      </c>
      <c r="K1040" t="str">
        <f>CLEAN("ASHLAND                       ")</f>
        <v xml:space="preserve">ASHLAND                       </v>
      </c>
      <c r="L1040" t="str">
        <f>CLEAN("T LA POINTE, HAGEN ROAD            ")</f>
        <v xml:space="preserve">T LA POINTE, HAGEN ROAD            </v>
      </c>
      <c r="M1040" t="str">
        <f>CLEAN("BLACK SHANTY ROAD TO TERMINUS      ")</f>
        <v xml:space="preserve">BLACK SHANTY ROAD TO TERMINUS      </v>
      </c>
      <c r="N1040">
        <v>2.0099999999999998</v>
      </c>
      <c r="O1040" t="str">
        <f>CLEAN("          ")</f>
        <v xml:space="preserve">          </v>
      </c>
      <c r="P1040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41" spans="1:16" x14ac:dyDescent="0.25">
      <c r="A1041" t="str">
        <f t="shared" si="317"/>
        <v>10</v>
      </c>
      <c r="B1041" t="str">
        <f>CLEAN("25")</f>
        <v>25</v>
      </c>
      <c r="C1041" s="1">
        <v>45300</v>
      </c>
      <c r="D1041" t="str">
        <f>CLEAN("9955-00-70")</f>
        <v>9955-00-70</v>
      </c>
      <c r="E1041" t="str">
        <f>CLEAN("205  ")</f>
        <v xml:space="preserve">205  </v>
      </c>
      <c r="F1041" t="str">
        <f>CLEAN("$500,000 - $749,999      ")</f>
        <v xml:space="preserve">$500,000 - $749,999      </v>
      </c>
      <c r="G1041" t="str">
        <f t="shared" si="320"/>
        <v>LET</v>
      </c>
      <c r="H1041" t="str">
        <f t="shared" si="321"/>
        <v xml:space="preserve">LET CONSTRUCTION         </v>
      </c>
      <c r="I1041" t="str">
        <f>CLEAN("CONSTRUCTION/BRIDGE REPLACEMENT    ")</f>
        <v xml:space="preserve">CONSTRUCTION/BRIDGE REPLACEMENT    </v>
      </c>
      <c r="J1041" t="str">
        <f>CLEAN("LOC STR")</f>
        <v>LOC STR</v>
      </c>
      <c r="K1041" t="str">
        <f>CLEAN("ASHLAND                       ")</f>
        <v xml:space="preserve">ASHLAND                       </v>
      </c>
      <c r="L1041" t="str">
        <f>CLEAN("C MELLEN, E TYLER AVE              ")</f>
        <v xml:space="preserve">C MELLEN, E TYLER AVE              </v>
      </c>
      <c r="M1041" t="str">
        <f>CLEAN("BAD RIVER BRIDGE B-02-0073         ")</f>
        <v xml:space="preserve">BAD RIVER BRIDGE B-02-0073         </v>
      </c>
      <c r="N1041">
        <v>3.5000000000000003E-2</v>
      </c>
      <c r="O1041" t="str">
        <f>CLEAN("          ")</f>
        <v xml:space="preserve">          </v>
      </c>
      <c r="P104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885746AA7554C899BA37D33172C27" ma:contentTypeVersion="1" ma:contentTypeDescription="Create a new document." ma:contentTypeScope="" ma:versionID="7750a96c3c167618c4eaf26ec9e0d0ab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B2C22-8D58-48EC-8DD2-845AF93A2D39}"/>
</file>

<file path=customXml/itemProps2.xml><?xml version="1.0" encoding="utf-8"?>
<ds:datastoreItem xmlns:ds="http://schemas.openxmlformats.org/officeDocument/2006/customXml" ds:itemID="{AA181072-2C28-4A59-9F81-61CDD16B281D}"/>
</file>

<file path=customXml/itemProps3.xml><?xml version="1.0" encoding="utf-8"?>
<ds:datastoreItem xmlns:ds="http://schemas.openxmlformats.org/officeDocument/2006/customXml" ds:itemID="{4E762F66-A392-4DDA-84AC-69885EC41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MC20231201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THYES, DANIEL M</dc:creator>
  <cp:lastModifiedBy>Thyes, Dan - DOT</cp:lastModifiedBy>
  <dcterms:created xsi:type="dcterms:W3CDTF">2023-12-01T14:32:12Z</dcterms:created>
  <dcterms:modified xsi:type="dcterms:W3CDTF">2023-12-01T14:32:12Z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0x0101009FD885746AA7554C899BA37D33172C27</vt:lpwstr>
  </property>
</Properties>
</file>